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11" windowWidth="14445" windowHeight="12075" activeTab="0"/>
  </bookViews>
  <sheets>
    <sheet name="20 Year Life Cycle Cost" sheetId="1" r:id="rId1"/>
    <sheet name="Gravity Option - Construction" sheetId="2" r:id="rId2"/>
    <sheet name="Oversizing" sheetId="3" state="hidden" r:id="rId3"/>
    <sheet name="Gravity Option - O&amp;M costs" sheetId="4" r:id="rId4"/>
    <sheet name="LS Option-Gravity Construction" sheetId="5" r:id="rId5"/>
    <sheet name="LS Option-LS &amp; FM Construction" sheetId="6" r:id="rId6"/>
    <sheet name="LS Option - O&amp;M Cost" sheetId="7" r:id="rId7"/>
    <sheet name="LowPressureOption-Construction" sheetId="8" r:id="rId8"/>
    <sheet name="LowPressureOption-O&amp;M Cost" sheetId="9" r:id="rId9"/>
  </sheets>
  <definedNames>
    <definedName name="_xlnm.Print_Area" localSheetId="0">'20 Year Life Cycle Cost'!$A$1:$D$48</definedName>
    <definedName name="_xlnm.Print_Area" localSheetId="1">'Gravity Option - Construction'!$A$1:$F$33</definedName>
    <definedName name="_xlnm.Print_Area" localSheetId="3">'Gravity Option - O&amp;M costs'!$A$1:$F$24</definedName>
    <definedName name="_xlnm.Print_Area" localSheetId="7">'LowPressureOption-Construction'!$A$1:$F$21</definedName>
    <definedName name="_xlnm.Print_Area" localSheetId="8">'LowPressureOption-O&amp;M Cost'!$A$1:$G$67</definedName>
    <definedName name="_xlnm.Print_Area" localSheetId="6">'LS Option - O&amp;M Cost'!$A$1:$G$65</definedName>
    <definedName name="_xlnm.Print_Area" localSheetId="5">'LS Option-LS &amp; FM Construction'!$A$1:$F$18</definedName>
  </definedNames>
  <calcPr fullCalcOnLoad="1"/>
</workbook>
</file>

<file path=xl/sharedStrings.xml><?xml version="1.0" encoding="utf-8"?>
<sst xmlns="http://schemas.openxmlformats.org/spreadsheetml/2006/main" count="447" uniqueCount="206">
  <si>
    <t>DESCRIPTION</t>
  </si>
  <si>
    <t>UNIT PRICE</t>
  </si>
  <si>
    <t>AMOUNT</t>
  </si>
  <si>
    <t>LFT</t>
  </si>
  <si>
    <t>Units</t>
  </si>
  <si>
    <t>Unit Cost</t>
  </si>
  <si>
    <t>Horsepower</t>
  </si>
  <si>
    <t>Year of Proposed Construction (Year X):</t>
  </si>
  <si>
    <t>Life Cycle (years):</t>
  </si>
  <si>
    <t>Construction Inflation (5-year ENCR):</t>
  </si>
  <si>
    <t>2010 Present Worth</t>
  </si>
  <si>
    <r>
      <t>Power P</t>
    </r>
    <r>
      <rPr>
        <vertAlign val="subscript"/>
        <sz val="11"/>
        <color indexed="8"/>
        <rFont val="Calibri"/>
        <family val="2"/>
      </rPr>
      <t>2010</t>
    </r>
    <r>
      <rPr>
        <sz val="11"/>
        <color theme="1"/>
        <rFont val="Calibri"/>
        <family val="2"/>
      </rPr>
      <t>/A Factor with Geometric Gradient:</t>
    </r>
  </si>
  <si>
    <t>Item</t>
  </si>
  <si>
    <t>Qty.</t>
  </si>
  <si>
    <t>2010 Item Cost</t>
  </si>
  <si>
    <t>Future Cost</t>
  </si>
  <si>
    <t>Notes:</t>
  </si>
  <si>
    <t>1.  Assumes sewer cleaning is completed every ten (10) years.</t>
  </si>
  <si>
    <t>Yearly Labor Increase:</t>
  </si>
  <si>
    <t>Annual Power Cost in 2010 Dollars:</t>
  </si>
  <si>
    <t>Yearly Power Cost Increase:</t>
  </si>
  <si>
    <t>Power 2010 Present Worth:</t>
  </si>
  <si>
    <t>Year of Construction (Year X):</t>
  </si>
  <si>
    <r>
      <t>F</t>
    </r>
    <r>
      <rPr>
        <b/>
        <sz val="11"/>
        <color indexed="8"/>
        <rFont val="Calibri"/>
        <family val="2"/>
      </rPr>
      <t>/P</t>
    </r>
    <r>
      <rPr>
        <b/>
        <vertAlign val="subscript"/>
        <sz val="11"/>
        <color indexed="8"/>
        <rFont val="Calibri"/>
        <family val="2"/>
      </rPr>
      <t>2010</t>
    </r>
    <r>
      <rPr>
        <b/>
        <sz val="11"/>
        <color indexed="8"/>
        <rFont val="Calibri"/>
        <family val="2"/>
      </rPr>
      <t xml:space="preserve"> Factor </t>
    </r>
  </si>
  <si>
    <t>Horsepower:</t>
  </si>
  <si>
    <t>Work Done</t>
  </si>
  <si>
    <t>Power Costs</t>
  </si>
  <si>
    <r>
      <t>F/P</t>
    </r>
    <r>
      <rPr>
        <b/>
        <vertAlign val="subscript"/>
        <sz val="11"/>
        <color indexed="8"/>
        <rFont val="Calibri"/>
        <family val="2"/>
      </rPr>
      <t>2010</t>
    </r>
    <r>
      <rPr>
        <b/>
        <sz val="11"/>
        <color indexed="8"/>
        <rFont val="Calibri"/>
        <family val="2"/>
      </rPr>
      <t xml:space="preserve"> Factor </t>
    </r>
    <r>
      <rPr>
        <b/>
        <vertAlign val="superscript"/>
        <sz val="11"/>
        <color indexed="8"/>
        <rFont val="Calibri"/>
        <family val="2"/>
      </rPr>
      <t>1</t>
    </r>
  </si>
  <si>
    <t>1.  Future costs are projected with yearly labor increase.</t>
  </si>
  <si>
    <t>Maintenance Costs</t>
  </si>
  <si>
    <r>
      <t>P</t>
    </r>
    <r>
      <rPr>
        <b/>
        <vertAlign val="subscript"/>
        <sz val="11"/>
        <color indexed="8"/>
        <rFont val="Calibri"/>
        <family val="2"/>
      </rPr>
      <t>2010</t>
    </r>
    <r>
      <rPr>
        <b/>
        <sz val="11"/>
        <color indexed="8"/>
        <rFont val="Calibri"/>
        <family val="2"/>
      </rPr>
      <t>/F Factor</t>
    </r>
  </si>
  <si>
    <t>Years After Construction</t>
  </si>
  <si>
    <t>2010 Cost</t>
  </si>
  <si>
    <t>Future Dollars</t>
  </si>
  <si>
    <t xml:space="preserve">2.  2010 Present Worth was calculated assuming the discount rate is applied to future costs already "inflated" to reflect increases in labor costs.  </t>
  </si>
  <si>
    <r>
      <t>P</t>
    </r>
    <r>
      <rPr>
        <b/>
        <vertAlign val="subscript"/>
        <sz val="11"/>
        <color indexed="8"/>
        <rFont val="Calibri"/>
        <family val="2"/>
      </rPr>
      <t>2010</t>
    </r>
    <r>
      <rPr>
        <b/>
        <sz val="11"/>
        <color indexed="8"/>
        <rFont val="Calibri"/>
        <family val="2"/>
      </rPr>
      <t>/F Factor</t>
    </r>
    <r>
      <rPr>
        <b/>
        <vertAlign val="superscript"/>
        <sz val="11"/>
        <color indexed="8"/>
        <rFont val="Calibri"/>
        <family val="2"/>
      </rPr>
      <t>2</t>
    </r>
  </si>
  <si>
    <t>Construction and Capital Costs</t>
  </si>
  <si>
    <r>
      <t>F</t>
    </r>
    <r>
      <rPr>
        <b/>
        <vertAlign val="subscript"/>
        <sz val="11"/>
        <color indexed="8"/>
        <rFont val="Calibri"/>
        <family val="2"/>
      </rPr>
      <t>YEAR X</t>
    </r>
    <r>
      <rPr>
        <b/>
        <sz val="11"/>
        <color indexed="8"/>
        <rFont val="Calibri"/>
        <family val="2"/>
      </rPr>
      <t>/P</t>
    </r>
    <r>
      <rPr>
        <b/>
        <vertAlign val="subscript"/>
        <sz val="11"/>
        <color indexed="8"/>
        <rFont val="Calibri"/>
        <family val="2"/>
      </rPr>
      <t>2010</t>
    </r>
    <r>
      <rPr>
        <b/>
        <sz val="11"/>
        <color indexed="8"/>
        <rFont val="Calibri"/>
        <family val="2"/>
      </rPr>
      <t xml:space="preserve"> Factor</t>
    </r>
  </si>
  <si>
    <t>Yearly Labor Cost Increase:</t>
  </si>
  <si>
    <t>2.  2010 Present Worth was calculated assuming the discount rate is applied to future costs already "inflated" to reflect increases in labor costs.</t>
  </si>
  <si>
    <t>General Data:  DO NOT EDIT (SEE 50 YEAR LIFE CYCLE COST SHEET)</t>
  </si>
  <si>
    <t>LF</t>
  </si>
  <si>
    <t>UNITS</t>
  </si>
  <si>
    <t>Replacement Schedule</t>
  </si>
  <si>
    <t>2 Pumps &amp; Controls Material</t>
  </si>
  <si>
    <t>2 Pumps &amp; Controls Installed</t>
  </si>
  <si>
    <t>GRAVITY SEWER LIFE CYCLE COST</t>
  </si>
  <si>
    <t>ITEM NO.</t>
  </si>
  <si>
    <t>QUANTITY</t>
  </si>
  <si>
    <t>Force Main, 4", Depth Range 6'-10'</t>
  </si>
  <si>
    <t>Force Main, 6", Depth Range 6'-10'</t>
  </si>
  <si>
    <t>Force Main, 8", Depth Range 6'-10'</t>
  </si>
  <si>
    <t>Force Main, 10", Depth Range 6'-10'</t>
  </si>
  <si>
    <t>Lift Station and Appurtenances</t>
  </si>
  <si>
    <t>EA</t>
  </si>
  <si>
    <t>Gravity Sanitary Sewer, 8" SDR-35 PVC, Depth Range 0'-8' w/ Granular Backfill</t>
  </si>
  <si>
    <t>Gravity Sanitary Sewer, 10" SDR-35 PVC, Depth Range 0'-8' w/ Granular Backfill</t>
  </si>
  <si>
    <t>Gravity Sanitary Sewer, 8" SDR-35 PVC, Depth Range 8'-12' w/ Granular Backfill</t>
  </si>
  <si>
    <t>Gravity Sanitary Sewer, 10" SDR-35 PVC, Depth Range 8'-12' w/ Granular Backfill</t>
  </si>
  <si>
    <t>Gravity Sanitary Sewer, 8" SDR-35 PVC, Depth Range 12'-16' w/ Granular Backfill</t>
  </si>
  <si>
    <t>Gravity Sanitary Sewer, 10" SDR-35 PVC, Depth Range 12'-16' w/ Granular Backfill</t>
  </si>
  <si>
    <t>Gravity Sanitary Sewer, 8" SDR-35 PVC, Depth Range 16'-20' w/ Granular Backfill</t>
  </si>
  <si>
    <t>Gravity Sanitary Sewer, 10" SDR-35 PVC, Depth Range 16'-20' w/ Granular Backfill</t>
  </si>
  <si>
    <t>Gravity Sanitary Sewer, 8" SDR-26 PVC, Depth Range 20'-24' w/ Granular Backfill</t>
  </si>
  <si>
    <t>Gravity Sanitary Sewer, 10" SDR-26 PVC, Depth Range 20'-24' w/ Granular Backfill</t>
  </si>
  <si>
    <t>Gravity Sanitary Sewer, 8" SDR-26 PVC, Depth Range 24'+ w/ Granular Backfill</t>
  </si>
  <si>
    <t>Gravity Sanitary Sewer, 10" SDR-26 PVC, Depth Range 24'+ w/ Granular Backfill</t>
  </si>
  <si>
    <t>Total 2010 Present Worth of Gravity Sewer O&amp;M</t>
  </si>
  <si>
    <t>Replacements of Pumps and Control Panels</t>
  </si>
  <si>
    <t>2010 Pump &amp; Control Replacement Cost:</t>
  </si>
  <si>
    <t>Discount Rate:</t>
  </si>
  <si>
    <t>Yearly Labor Increase (Used for Maintenance &amp; Replacements):</t>
  </si>
  <si>
    <t>Note:  Annual Power Cost in 2010 dollars is based on data provided by Indianapolis DPW and is dependent on horsepower.</t>
  </si>
  <si>
    <t>Yearly Maintenance 2010 Present Worth:</t>
  </si>
  <si>
    <r>
      <t>Yearly Maintenance P</t>
    </r>
    <r>
      <rPr>
        <vertAlign val="subscript"/>
        <sz val="11"/>
        <color indexed="8"/>
        <rFont val="Calibri"/>
        <family val="2"/>
      </rPr>
      <t>2010</t>
    </r>
    <r>
      <rPr>
        <sz val="11"/>
        <color theme="1"/>
        <rFont val="Calibri"/>
        <family val="2"/>
      </rPr>
      <t>/A Factor with Geometric Gradient:</t>
    </r>
  </si>
  <si>
    <t>Annual Power Cost at Year 1</t>
  </si>
  <si>
    <t>Pump &amp; Controls</t>
  </si>
  <si>
    <t>Discount Rate Used (5-year CPI):</t>
  </si>
  <si>
    <t>Pump &amp; Controls Replacement Period (years):</t>
  </si>
  <si>
    <t>LIFT STATION AND FORCE MAIN LIFE CYCLE COST</t>
  </si>
  <si>
    <t>GRINDER STATIONS AND LOW PRESSURE SEWER LIFE CYCLE COST</t>
  </si>
  <si>
    <t>Cleaning Schedule</t>
  </si>
  <si>
    <t>3.  Cleaning of the off-site sewer is included only.</t>
  </si>
  <si>
    <t>Total 2010 Present Worth of On-Site Gravity Sewer O&amp;M</t>
  </si>
  <si>
    <t>Annual Power Cost at Year 1:</t>
  </si>
  <si>
    <t>Number of Simplex Stations:</t>
  </si>
  <si>
    <t>Number of Pumps:</t>
  </si>
  <si>
    <t>Service Lateral, 1-1/4"</t>
  </si>
  <si>
    <t>Force Main, 2" HDPE DR-11, Directionally Bored</t>
  </si>
  <si>
    <t>Force Main, 3" HDPE DR-11, Directionally Bored</t>
  </si>
  <si>
    <t>Force Main, 4" HDPE DR-11, Directionally Bored</t>
  </si>
  <si>
    <t>Air Release Structure</t>
  </si>
  <si>
    <t>Grinder Pump Station, Simplex, Installed</t>
  </si>
  <si>
    <t>Land Acquisition for Lift Station</t>
  </si>
  <si>
    <t>Insert "1" for Private Development, Insert "2" for Public Project:</t>
  </si>
  <si>
    <t>Force Main, 1-1/2" HDPE DR-11</t>
  </si>
  <si>
    <t>Horsepower of Pumps Required in Lift Station:</t>
  </si>
  <si>
    <t>Sewer Laterals</t>
  </si>
  <si>
    <t>Cleaning &amp; Televising Sewer</t>
  </si>
  <si>
    <t>Yearly Maintenance Cost at Year 1:</t>
  </si>
  <si>
    <t>Annual Yearly Maintenance Costs at Year 1:</t>
  </si>
  <si>
    <t>LSUM</t>
  </si>
  <si>
    <t>Mobilization</t>
  </si>
  <si>
    <t>Erosion Control and Restoration</t>
  </si>
  <si>
    <t>Maintenance of Traffic</t>
  </si>
  <si>
    <t>2010 LIFT STATION &amp; FORCE MAIN CONSTRUCTION TOTAL =</t>
  </si>
  <si>
    <t>2010 Lift Station &amp; Force Main Construction Subtotal =</t>
  </si>
  <si>
    <t>2010 GRINDERS AND LOW PRESSURE SEWER CONSTRUCTION TOTAL =</t>
  </si>
  <si>
    <t>&lt;ENTER 4-digit year</t>
  </si>
  <si>
    <t>2010 Grinders and Low Pressure Sewer Construction Subtotal =</t>
  </si>
  <si>
    <t>Power Feed from Home to Grinder Pump Station</t>
  </si>
  <si>
    <t>Grinder Stations and Low Pressure Sewer System Construction Cost</t>
  </si>
  <si>
    <t>Grinder Stations and Low Pressure Sewer Construction Worksheet</t>
  </si>
  <si>
    <t>1. Construction inflation based on Published "ENR Cost Indexing" 2005-2010.</t>
  </si>
  <si>
    <t>3. Yearly labor cost increase based on BLS: Employment Cost Index: " Total Compensation, Private Industry, Construction"  2005-2010.</t>
  </si>
  <si>
    <t>Years after Construction</t>
  </si>
  <si>
    <t>Corrective Maintenance</t>
  </si>
  <si>
    <t>Control Panel</t>
  </si>
  <si>
    <t>Air Release Valve</t>
  </si>
  <si>
    <t>ARV</t>
  </si>
  <si>
    <t>Number of ARV's:</t>
  </si>
  <si>
    <t>Replacement Done</t>
  </si>
  <si>
    <t>SF</t>
  </si>
  <si>
    <t>Easements for Grinder Stations (200 SF per Station)</t>
  </si>
  <si>
    <t>Gravity Sewer O&amp;M Worksheet</t>
  </si>
  <si>
    <t>Notes</t>
  </si>
  <si>
    <t>Gravity sanitary sewer items include pipe, manholes, excavation, granular backfill, pavement, and pavement subbase.</t>
  </si>
  <si>
    <t>Provide a description of any items included in the "Miscellaneous Construction Costs" to the Utility.</t>
  </si>
  <si>
    <t>Force main items include pipe, excavation, granular backfill, pavement, and pavement subbase.</t>
  </si>
  <si>
    <t>2. Yearly power cost increase based on BLS 5-year Industrial Electric Power Rates 2005-2010 published by Produce Price Index.</t>
  </si>
  <si>
    <t>4. Discount rate based on BLS: Consumer Price Index: "All Urban Consumers - (CPI-U) U.S. City average; All Items" 2005-2010.</t>
  </si>
  <si>
    <t>Lift Station Power Costs</t>
  </si>
  <si>
    <t>Grinder Station Yearly Maintenance Cost at Year 1</t>
  </si>
  <si>
    <t>Yearly Grinder Station Maintenance Cost 2010 Dollars (per Pump):</t>
  </si>
  <si>
    <t>Yearly Maintenance Cost for Cleaning Low Pressure Sewer (Lump Sum):</t>
  </si>
  <si>
    <t>Yearly Grinder Station Maintenance 2010 Present Worth:</t>
  </si>
  <si>
    <t>Yearly Low Pressure Sewer Maintenance 2010 Present Worth:</t>
  </si>
  <si>
    <t>Replacement Schedule (at Grinder Stations)</t>
  </si>
  <si>
    <t>Replacement Schedule (on Low Pressure Sewer)</t>
  </si>
  <si>
    <t>Replacement Unit Costs</t>
  </si>
  <si>
    <t>Total Unit Cost</t>
  </si>
  <si>
    <t>Yearly Maintenance</t>
  </si>
  <si>
    <t>Yearly Maintenance of Low Pressure Sewer</t>
  </si>
  <si>
    <t xml:space="preserve">Grinder Station Maintenance Costs </t>
  </si>
  <si>
    <t>Low Pressure Sewer Maintenance Costs</t>
  </si>
  <si>
    <t>Grinder Stations Power Costs</t>
  </si>
  <si>
    <t>Onsite Gravity Sewer Maintenance Costs</t>
  </si>
  <si>
    <t>Year after Construction</t>
  </si>
  <si>
    <t>3.  Pump and Controls replacement costs are dependent on horsepower.</t>
  </si>
  <si>
    <r>
      <t>F/P</t>
    </r>
    <r>
      <rPr>
        <b/>
        <vertAlign val="subscript"/>
        <sz val="11"/>
        <color indexed="8"/>
        <rFont val="Calibri"/>
        <family val="2"/>
      </rPr>
      <t>2010</t>
    </r>
    <r>
      <rPr>
        <b/>
        <sz val="11"/>
        <color indexed="8"/>
        <rFont val="Calibri"/>
        <family val="2"/>
      </rPr>
      <t xml:space="preserve"> Factor</t>
    </r>
  </si>
  <si>
    <t>Grinder Stations Corrective Maintenance 2010 Present Worth:</t>
  </si>
  <si>
    <t>Low Pressure Sewer Corrective Maintenance 2010 Present Worth:</t>
  </si>
  <si>
    <t>Material Cost</t>
  </si>
  <si>
    <t>Installation Cost</t>
  </si>
  <si>
    <t>Capital Improvements 2010 Present Worth:</t>
  </si>
  <si>
    <t>Capital Improvement Costs</t>
  </si>
  <si>
    <t>20-Year Life Cycle Cost Summary Worksheet</t>
  </si>
  <si>
    <t>Remaining Useful Life Value</t>
  </si>
  <si>
    <t>Note:  Cost converted from 2010 to Year X using the yearly increase rates for construction, power, and labor for construction, power and O&amp;M respectively.  Positive values indicate costs.</t>
  </si>
  <si>
    <t>Year X Value at Time of Construction</t>
  </si>
  <si>
    <t>Lift Station O&amp;M Worksheet (Cont.)</t>
  </si>
  <si>
    <t>On-Site Gravity Sewer Maintenance Costs</t>
  </si>
  <si>
    <t>Capital Improvement Costs (Replacements Exceeding $25,000 in 2010 Dollars)</t>
  </si>
  <si>
    <t>Annual SCADA Service Fee in 2010 Dollars (A):</t>
  </si>
  <si>
    <t>Annual Maintenance Cost in 2010 Dollars (B):</t>
  </si>
  <si>
    <t>Sum of SCADA Fee and Maintenance (A+B):</t>
  </si>
  <si>
    <t>Yearly Lift Station Maintenance Costs</t>
  </si>
  <si>
    <t>Grinder Station Maintenance Costs</t>
  </si>
  <si>
    <t>Yearly Grinder Station Maintenance 2010 Present Worth (A):</t>
  </si>
  <si>
    <t>Grinder Stations Corrective Maintenance 2010 Present Worth (B):</t>
  </si>
  <si>
    <t>Total Grinder Station Maintenance 2010 Present Worth (A+B):</t>
  </si>
  <si>
    <t>Yearly Low Pressure Sewer Maintenance 2010 Present Worth (C):</t>
  </si>
  <si>
    <t>Low Pressure Sewer Corrective Maintenance 2010 Present Worth (D):</t>
  </si>
  <si>
    <t>Total Low Pressure Sewer Maintenance 2010 Present Worth (C+D):</t>
  </si>
  <si>
    <t>Corrective Maintenance of Low Pressure Sewer</t>
  </si>
  <si>
    <t>Grinder Stations and Low Pressure Sewer O&amp;M Worksheet (Cont.)</t>
  </si>
  <si>
    <t>Instructions:  Fill In Yellow Cells</t>
  </si>
  <si>
    <t>Instructions:  No data entry required.</t>
  </si>
  <si>
    <t>Lift Station O&amp;M Worksheet</t>
  </si>
  <si>
    <t>Grinder Stations and Low Pressure Sewer O&amp;M Worksheet</t>
  </si>
  <si>
    <t>Study Period (years):</t>
  </si>
  <si>
    <t>TOTAL YEAR X LIFT STATION AND FORCE MAIN PRESENT WORTH</t>
  </si>
  <si>
    <t>TOTAL YEAR X GRAVITY SEWER PRESENT WORTH</t>
  </si>
  <si>
    <t>TOTAL YEAR X GRINDERS &amp; LOW PRESSURE SEWER PRESENT WORTH</t>
  </si>
  <si>
    <t>Gravity Sanitary Sewer, &gt;= 12" SDR-35 PVC, Depth Range 0'-8' w/ Granular Backfill</t>
  </si>
  <si>
    <t>Gravity Sanitary Sewer, &gt;= 12" SDR-35 PVC, Depth Range 8'-12' w/ Granular Backfill</t>
  </si>
  <si>
    <t>Gravity Sanitary Sewer, &gt;= 12" SDR-35 PVC, Depth Range 12'-16' w/ Granular Backfill</t>
  </si>
  <si>
    <t>Gravity Sanitary Sewer, &gt;= 12" SDR-35 PVC, Depth Range 16'-20' w/ Granular Backfill</t>
  </si>
  <si>
    <t>Gravity Sanitary Sewer, &gt;= 12" SDR-26 PVC, Depth Range 20'-24' w/ Granular Backfill</t>
  </si>
  <si>
    <t>Gravity Sanitary Sewer, &gt;= 12" SDR-26 PVC, Depth Range 24'+ w/ Granular Backfill</t>
  </si>
  <si>
    <t xml:space="preserve">Gravity Sewer Option Construction Worksheet </t>
  </si>
  <si>
    <t>2010 Gravity Sewer Construction Subtotal - GRAVITY SEWER OPTION =</t>
  </si>
  <si>
    <t>2010 GRAVITY SEWER CONSTRUCTION TOTAL - GRAVITY SEWER OPTION =</t>
  </si>
  <si>
    <t>Oversizing Gravity Sewer Construction Cost is saved as a hidden tab</t>
  </si>
  <si>
    <t>Oversizing Gravity Sewer Construction Worksheet</t>
  </si>
  <si>
    <t>Oversizing Gravity Sewer Construction Cost</t>
  </si>
  <si>
    <t>Gravity Sewer Option Construction Cost</t>
  </si>
  <si>
    <t>2010 Oversizing Gravity Sewer Construction Subtotal =</t>
  </si>
  <si>
    <t>2010 OVERSIZING GRAVITY SEWER CONSTRUCTION TOTAL =</t>
  </si>
  <si>
    <t>Lift Station Option - Gravity Sewer Construction Worksheet</t>
  </si>
  <si>
    <t>Gravity Sewer Construction Cost - LIFT STATION OPTION</t>
  </si>
  <si>
    <t>2010 Gravity Sewer Construction Subtotal - LIFT STATION OPTION =</t>
  </si>
  <si>
    <t>2010 GRAVITY SEWER CONSTRUCTION TOTAL - LIFT STATION OPTION =</t>
  </si>
  <si>
    <t>Lift Station &amp; Force Main Construction Cost</t>
  </si>
  <si>
    <t>Lift Station &amp; Force Main Construction Cost Worksheet</t>
  </si>
  <si>
    <t>Misc. Construction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</si>
</sst>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sz val="10"/>
      <color theme="1"/>
      <name val="Tahoma"/>
      <family val="2"/>
    </font>
    <font>
      <b/>
      <i/>
      <sz val="11"/>
      <color theme="1"/>
      <name val="Calibri"/>
      <family val="2"/>
    </font>
    <font>
      <sz val="10"/>
      <color rgb="FF000000"/>
      <name val="Tahoma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thin"/>
      <right/>
      <top style="medium"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hair"/>
      <bottom style="double"/>
    </border>
    <border>
      <left style="medium"/>
      <right/>
      <top/>
      <bottom/>
    </border>
    <border>
      <left style="medium"/>
      <right style="hair"/>
      <top style="medium"/>
      <bottom style="hair"/>
    </border>
    <border>
      <left style="hair"/>
      <right style="hair"/>
      <top style="hair"/>
      <bottom/>
    </border>
    <border>
      <left style="medium"/>
      <right style="hair"/>
      <top style="hair"/>
      <bottom/>
    </border>
    <border>
      <left style="hair"/>
      <right style="hair"/>
      <top style="hair"/>
      <bottom style="double"/>
    </border>
    <border>
      <left/>
      <right style="medium"/>
      <top style="thin"/>
      <bottom style="thin"/>
    </border>
    <border>
      <left style="hair"/>
      <right style="hair"/>
      <top style="thin"/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double"/>
    </border>
    <border>
      <left/>
      <right/>
      <top style="medium"/>
      <bottom/>
    </border>
    <border>
      <left style="hair"/>
      <right style="hair"/>
      <top style="medium"/>
      <bottom style="hair"/>
    </border>
    <border>
      <left/>
      <right style="medium"/>
      <top/>
      <bottom style="medium"/>
    </border>
    <border>
      <left style="hair"/>
      <right style="medium"/>
      <top/>
      <bottom style="medium"/>
    </border>
    <border>
      <left style="hair"/>
      <right style="medium"/>
      <top style="double"/>
      <bottom style="medium"/>
    </border>
    <border>
      <left/>
      <right/>
      <top/>
      <bottom style="medium"/>
    </border>
    <border>
      <left style="hair"/>
      <right style="hair"/>
      <top/>
      <bottom style="medium"/>
    </border>
    <border>
      <left style="medium"/>
      <right style="hair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double"/>
    </border>
    <border>
      <left style="medium"/>
      <right style="thin"/>
      <top/>
      <bottom style="medium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double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5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1" fillId="32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42" fontId="0" fillId="0" borderId="0" xfId="0" applyNumberFormat="1" applyAlignment="1">
      <alignment vertical="center"/>
    </xf>
    <xf numFmtId="0" fontId="43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5" fontId="43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8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0" fontId="45" fillId="0" borderId="0" xfId="62" applyNumberFormat="1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164" fontId="14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 wrapText="1"/>
    </xf>
    <xf numFmtId="42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2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42" fontId="0" fillId="0" borderId="14" xfId="0" applyNumberFormat="1" applyBorder="1" applyAlignment="1">
      <alignment vertical="center"/>
    </xf>
    <xf numFmtId="42" fontId="0" fillId="0" borderId="15" xfId="0" applyNumberFormat="1" applyBorder="1" applyAlignment="1">
      <alignment vertical="center"/>
    </xf>
    <xf numFmtId="2" fontId="0" fillId="0" borderId="16" xfId="0" applyNumberFormat="1" applyFill="1" applyBorder="1" applyAlignment="1">
      <alignment horizontal="center" vertical="center"/>
    </xf>
    <xf numFmtId="44" fontId="0" fillId="0" borderId="0" xfId="0" applyNumberFormat="1" applyBorder="1" applyAlignment="1">
      <alignment/>
    </xf>
    <xf numFmtId="0" fontId="0" fillId="0" borderId="17" xfId="0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165" fontId="0" fillId="0" borderId="18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5" fontId="0" fillId="0" borderId="20" xfId="0" applyNumberForma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10" fontId="45" fillId="0" borderId="15" xfId="62" applyNumberFormat="1" applyFont="1" applyFill="1" applyBorder="1" applyAlignment="1">
      <alignment horizontal="center" vertical="center"/>
    </xf>
    <xf numFmtId="10" fontId="45" fillId="0" borderId="21" xfId="6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/>
    </xf>
    <xf numFmtId="42" fontId="0" fillId="0" borderId="0" xfId="0" applyNumberFormat="1" applyFill="1" applyBorder="1" applyAlignment="1">
      <alignment vertical="center"/>
    </xf>
    <xf numFmtId="164" fontId="0" fillId="0" borderId="0" xfId="0" applyNumberFormat="1" applyAlignment="1">
      <alignment/>
    </xf>
    <xf numFmtId="0" fontId="12" fillId="0" borderId="22" xfId="0" applyFont="1" applyFill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165" fontId="12" fillId="0" borderId="18" xfId="45" applyNumberFormat="1" applyFont="1" applyFill="1" applyBorder="1" applyAlignment="1">
      <alignment horizontal="center"/>
    </xf>
    <xf numFmtId="0" fontId="16" fillId="0" borderId="15" xfId="52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/>
    </xf>
    <xf numFmtId="0" fontId="12" fillId="33" borderId="23" xfId="58" applyFont="1" applyFill="1" applyBorder="1" applyAlignment="1">
      <alignment vertical="center" wrapText="1"/>
      <protection/>
    </xf>
    <xf numFmtId="0" fontId="46" fillId="33" borderId="23" xfId="0" applyFont="1" applyFill="1" applyBorder="1" applyAlignment="1">
      <alignment horizontal="center"/>
    </xf>
    <xf numFmtId="165" fontId="12" fillId="33" borderId="24" xfId="45" applyNumberFormat="1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18" xfId="58" applyFont="1" applyFill="1" applyBorder="1" applyAlignment="1">
      <alignment vertical="center" wrapText="1"/>
      <protection/>
    </xf>
    <xf numFmtId="0" fontId="46" fillId="33" borderId="18" xfId="0" applyFont="1" applyFill="1" applyBorder="1" applyAlignment="1">
      <alignment horizontal="center"/>
    </xf>
    <xf numFmtId="165" fontId="12" fillId="33" borderId="18" xfId="45" applyNumberFormat="1" applyFont="1" applyFill="1" applyBorder="1" applyAlignment="1">
      <alignment horizontal="center"/>
    </xf>
    <xf numFmtId="165" fontId="12" fillId="33" borderId="15" xfId="45" applyNumberFormat="1" applyFont="1" applyFill="1" applyBorder="1" applyAlignment="1">
      <alignment horizontal="center"/>
    </xf>
    <xf numFmtId="0" fontId="12" fillId="0" borderId="18" xfId="58" applyFont="1" applyFill="1" applyBorder="1" applyAlignment="1">
      <alignment vertical="center" wrapText="1"/>
      <protection/>
    </xf>
    <xf numFmtId="165" fontId="12" fillId="0" borderId="15" xfId="45" applyNumberFormat="1" applyFont="1" applyFill="1" applyBorder="1" applyAlignment="1">
      <alignment horizontal="center"/>
    </xf>
    <xf numFmtId="0" fontId="43" fillId="0" borderId="11" xfId="0" applyFont="1" applyBorder="1" applyAlignment="1">
      <alignment horizontal="center" wrapText="1"/>
    </xf>
    <xf numFmtId="0" fontId="43" fillId="0" borderId="25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3" fontId="45" fillId="0" borderId="26" xfId="53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44" fontId="0" fillId="0" borderId="26" xfId="0" applyNumberFormat="1" applyBorder="1" applyAlignment="1">
      <alignment horizontal="center"/>
    </xf>
    <xf numFmtId="165" fontId="0" fillId="0" borderId="27" xfId="0" applyNumberForma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165" fontId="0" fillId="0" borderId="29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165" fontId="0" fillId="0" borderId="29" xfId="0" applyNumberFormat="1" applyBorder="1" applyAlignment="1">
      <alignment vertical="center"/>
    </xf>
    <xf numFmtId="165" fontId="0" fillId="0" borderId="30" xfId="0" applyNumberFormat="1" applyBorder="1" applyAlignment="1">
      <alignment horizontal="center" vertical="center"/>
    </xf>
    <xf numFmtId="0" fontId="43" fillId="0" borderId="31" xfId="0" applyFont="1" applyBorder="1" applyAlignment="1">
      <alignment horizontal="center" wrapText="1"/>
    </xf>
    <xf numFmtId="0" fontId="43" fillId="0" borderId="32" xfId="0" applyFont="1" applyBorder="1" applyAlignment="1">
      <alignment horizontal="center"/>
    </xf>
    <xf numFmtId="0" fontId="43" fillId="0" borderId="32" xfId="0" applyFont="1" applyBorder="1" applyAlignment="1">
      <alignment horizontal="center" wrapText="1"/>
    </xf>
    <xf numFmtId="0" fontId="43" fillId="0" borderId="33" xfId="0" applyFont="1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2" fontId="0" fillId="0" borderId="34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47" fillId="0" borderId="0" xfId="0" applyFont="1" applyFill="1" applyBorder="1" applyAlignment="1">
      <alignment horizontal="center"/>
    </xf>
    <xf numFmtId="165" fontId="0" fillId="0" borderId="35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43" fillId="0" borderId="0" xfId="0" applyFont="1" applyFill="1" applyBorder="1" applyAlignment="1">
      <alignment horizontal="center" vertical="center" wrapText="1"/>
    </xf>
    <xf numFmtId="3" fontId="45" fillId="0" borderId="15" xfId="0" applyNumberFormat="1" applyFont="1" applyFill="1" applyBorder="1" applyAlignment="1">
      <alignment horizontal="center" vertical="center"/>
    </xf>
    <xf numFmtId="44" fontId="12" fillId="0" borderId="0" xfId="0" applyNumberFormat="1" applyFont="1" applyBorder="1" applyAlignment="1">
      <alignment/>
    </xf>
    <xf numFmtId="10" fontId="16" fillId="0" borderId="15" xfId="52" applyNumberFormat="1" applyFont="1" applyFill="1" applyBorder="1" applyAlignment="1">
      <alignment horizontal="center" vertical="center"/>
    </xf>
    <xf numFmtId="165" fontId="48" fillId="0" borderId="23" xfId="0" applyNumberFormat="1" applyFont="1" applyBorder="1" applyAlignment="1">
      <alignment horizontal="center"/>
    </xf>
    <xf numFmtId="165" fontId="48" fillId="0" borderId="18" xfId="0" applyNumberFormat="1" applyFont="1" applyBorder="1" applyAlignment="1">
      <alignment horizontal="center"/>
    </xf>
    <xf numFmtId="0" fontId="12" fillId="0" borderId="23" xfId="59" applyFont="1" applyFill="1" applyBorder="1" applyAlignment="1">
      <alignment vertical="center" wrapText="1"/>
      <protection/>
    </xf>
    <xf numFmtId="0" fontId="12" fillId="0" borderId="18" xfId="59" applyFont="1" applyFill="1" applyBorder="1" applyAlignment="1">
      <alignment vertical="center" wrapText="1"/>
      <protection/>
    </xf>
    <xf numFmtId="0" fontId="12" fillId="0" borderId="18" xfId="55" applyFont="1" applyFill="1" applyBorder="1" applyAlignment="1">
      <alignment vertical="center"/>
      <protection/>
    </xf>
    <xf numFmtId="0" fontId="46" fillId="0" borderId="18" xfId="56" applyFont="1" applyFill="1" applyBorder="1" applyAlignment="1">
      <alignment horizontal="left" vertical="center" wrapText="1"/>
      <protection/>
    </xf>
    <xf numFmtId="0" fontId="0" fillId="0" borderId="17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36" xfId="0" applyBorder="1" applyAlignment="1">
      <alignment horizontal="right" vertical="center" wrapText="1"/>
    </xf>
    <xf numFmtId="3" fontId="12" fillId="34" borderId="23" xfId="0" applyNumberFormat="1" applyFont="1" applyFill="1" applyBorder="1" applyAlignment="1" applyProtection="1">
      <alignment horizontal="center"/>
      <protection locked="0"/>
    </xf>
    <xf numFmtId="3" fontId="12" fillId="34" borderId="18" xfId="0" applyNumberFormat="1" applyFont="1" applyFill="1" applyBorder="1" applyAlignment="1" applyProtection="1">
      <alignment horizontal="center"/>
      <protection locked="0"/>
    </xf>
    <xf numFmtId="3" fontId="12" fillId="0" borderId="37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4" fillId="0" borderId="11" xfId="0" applyFont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"/>
      <protection/>
    </xf>
    <xf numFmtId="164" fontId="14" fillId="0" borderId="13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/>
    </xf>
    <xf numFmtId="0" fontId="46" fillId="0" borderId="23" xfId="0" applyFont="1" applyBorder="1" applyAlignment="1" applyProtection="1">
      <alignment horizontal="left"/>
      <protection/>
    </xf>
    <xf numFmtId="0" fontId="46" fillId="0" borderId="23" xfId="0" applyFont="1" applyBorder="1" applyAlignment="1" applyProtection="1">
      <alignment horizontal="center"/>
      <protection/>
    </xf>
    <xf numFmtId="165" fontId="12" fillId="0" borderId="24" xfId="45" applyNumberFormat="1" applyFont="1" applyFill="1" applyBorder="1" applyAlignment="1" applyProtection="1">
      <alignment horizontal="center"/>
      <protection/>
    </xf>
    <xf numFmtId="165" fontId="0" fillId="0" borderId="0" xfId="0" applyNumberFormat="1" applyAlignment="1" applyProtection="1">
      <alignment/>
      <protection/>
    </xf>
    <xf numFmtId="0" fontId="12" fillId="0" borderId="17" xfId="0" applyFont="1" applyBorder="1" applyAlignment="1" applyProtection="1">
      <alignment horizontal="center"/>
      <protection/>
    </xf>
    <xf numFmtId="0" fontId="46" fillId="0" borderId="18" xfId="0" applyFont="1" applyBorder="1" applyAlignment="1" applyProtection="1">
      <alignment horizontal="left"/>
      <protection/>
    </xf>
    <xf numFmtId="0" fontId="46" fillId="0" borderId="18" xfId="0" applyFont="1" applyBorder="1" applyAlignment="1" applyProtection="1">
      <alignment horizontal="center"/>
      <protection/>
    </xf>
    <xf numFmtId="165" fontId="12" fillId="0" borderId="18" xfId="45" applyNumberFormat="1" applyFont="1" applyFill="1" applyBorder="1" applyAlignment="1" applyProtection="1">
      <alignment horizontal="center"/>
      <protection/>
    </xf>
    <xf numFmtId="165" fontId="12" fillId="0" borderId="15" xfId="45" applyNumberFormat="1" applyFont="1" applyFill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center"/>
      <protection/>
    </xf>
    <xf numFmtId="0" fontId="46" fillId="0" borderId="37" xfId="0" applyFont="1" applyBorder="1" applyAlignment="1" applyProtection="1">
      <alignment horizontal="left"/>
      <protection/>
    </xf>
    <xf numFmtId="0" fontId="46" fillId="0" borderId="37" xfId="0" applyFont="1" applyBorder="1" applyAlignment="1" applyProtection="1">
      <alignment horizontal="center"/>
      <protection/>
    </xf>
    <xf numFmtId="165" fontId="12" fillId="0" borderId="37" xfId="45" applyNumberFormat="1" applyFont="1" applyFill="1" applyBorder="1" applyAlignment="1" applyProtection="1">
      <alignment horizontal="center"/>
      <protection/>
    </xf>
    <xf numFmtId="0" fontId="46" fillId="0" borderId="39" xfId="0" applyFont="1" applyBorder="1" applyAlignment="1" applyProtection="1">
      <alignment horizontal="center"/>
      <protection/>
    </xf>
    <xf numFmtId="165" fontId="12" fillId="0" borderId="39" xfId="45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33" borderId="22" xfId="0" applyFont="1" applyFill="1" applyBorder="1" applyAlignment="1" applyProtection="1">
      <alignment horizontal="center"/>
      <protection/>
    </xf>
    <xf numFmtId="0" fontId="12" fillId="33" borderId="23" xfId="58" applyFont="1" applyFill="1" applyBorder="1" applyAlignment="1" applyProtection="1">
      <alignment vertical="center" wrapText="1"/>
      <protection/>
    </xf>
    <xf numFmtId="0" fontId="46" fillId="33" borderId="23" xfId="0" applyFont="1" applyFill="1" applyBorder="1" applyAlignment="1" applyProtection="1">
      <alignment horizontal="center"/>
      <protection/>
    </xf>
    <xf numFmtId="165" fontId="12" fillId="33" borderId="23" xfId="45" applyNumberFormat="1" applyFont="1" applyFill="1" applyBorder="1" applyAlignment="1" applyProtection="1">
      <alignment horizontal="center"/>
      <protection/>
    </xf>
    <xf numFmtId="165" fontId="12" fillId="33" borderId="24" xfId="45" applyNumberFormat="1" applyFont="1" applyFill="1" applyBorder="1" applyAlignment="1" applyProtection="1">
      <alignment horizontal="center"/>
      <protection/>
    </xf>
    <xf numFmtId="0" fontId="12" fillId="33" borderId="17" xfId="0" applyFont="1" applyFill="1" applyBorder="1" applyAlignment="1" applyProtection="1">
      <alignment horizontal="center"/>
      <protection/>
    </xf>
    <xf numFmtId="0" fontId="12" fillId="33" borderId="18" xfId="58" applyFont="1" applyFill="1" applyBorder="1" applyAlignment="1" applyProtection="1">
      <alignment vertical="center" wrapText="1"/>
      <protection/>
    </xf>
    <xf numFmtId="0" fontId="46" fillId="33" borderId="18" xfId="0" applyFont="1" applyFill="1" applyBorder="1" applyAlignment="1" applyProtection="1">
      <alignment horizontal="center"/>
      <protection/>
    </xf>
    <xf numFmtId="165" fontId="12" fillId="33" borderId="18" xfId="45" applyNumberFormat="1" applyFont="1" applyFill="1" applyBorder="1" applyAlignment="1" applyProtection="1">
      <alignment horizontal="center"/>
      <protection/>
    </xf>
    <xf numFmtId="165" fontId="12" fillId="33" borderId="15" xfId="45" applyNumberFormat="1" applyFont="1" applyFill="1" applyBorder="1" applyAlignment="1" applyProtection="1">
      <alignment horizontal="center"/>
      <protection/>
    </xf>
    <xf numFmtId="0" fontId="12" fillId="0" borderId="18" xfId="58" applyFont="1" applyFill="1" applyBorder="1" applyAlignment="1" applyProtection="1">
      <alignment vertical="center" wrapText="1"/>
      <protection/>
    </xf>
    <xf numFmtId="0" fontId="16" fillId="34" borderId="14" xfId="52" applyFont="1" applyFill="1" applyBorder="1" applyAlignment="1" applyProtection="1">
      <alignment horizontal="center" vertical="center"/>
      <protection locked="0"/>
    </xf>
    <xf numFmtId="0" fontId="16" fillId="34" borderId="15" xfId="52" applyFont="1" applyFill="1" applyBorder="1" applyAlignment="1" applyProtection="1">
      <alignment horizontal="center" vertical="center"/>
      <protection locked="0"/>
    </xf>
    <xf numFmtId="165" fontId="12" fillId="0" borderId="16" xfId="45" applyNumberFormat="1" applyFont="1" applyFill="1" applyBorder="1" applyAlignment="1" applyProtection="1">
      <alignment horizontal="center"/>
      <protection/>
    </xf>
    <xf numFmtId="165" fontId="49" fillId="0" borderId="40" xfId="0" applyNumberFormat="1" applyFont="1" applyFill="1" applyBorder="1" applyAlignment="1" applyProtection="1">
      <alignment/>
      <protection/>
    </xf>
    <xf numFmtId="0" fontId="46" fillId="0" borderId="41" xfId="0" applyFont="1" applyBorder="1" applyAlignment="1" applyProtection="1">
      <alignment/>
      <protection/>
    </xf>
    <xf numFmtId="0" fontId="46" fillId="0" borderId="41" xfId="0" applyFont="1" applyBorder="1" applyAlignment="1" applyProtection="1">
      <alignment horizontal="center"/>
      <protection/>
    </xf>
    <xf numFmtId="9" fontId="46" fillId="0" borderId="41" xfId="62" applyFont="1" applyBorder="1" applyAlignment="1" applyProtection="1">
      <alignment horizontal="center"/>
      <protection/>
    </xf>
    <xf numFmtId="165" fontId="12" fillId="0" borderId="41" xfId="45" applyNumberFormat="1" applyFont="1" applyFill="1" applyBorder="1" applyAlignment="1" applyProtection="1">
      <alignment horizontal="center"/>
      <protection/>
    </xf>
    <xf numFmtId="0" fontId="46" fillId="0" borderId="18" xfId="0" applyFont="1" applyBorder="1" applyAlignment="1" applyProtection="1">
      <alignment/>
      <protection/>
    </xf>
    <xf numFmtId="9" fontId="46" fillId="0" borderId="18" xfId="62" applyFont="1" applyBorder="1" applyAlignment="1" applyProtection="1">
      <alignment horizontal="center"/>
      <protection/>
    </xf>
    <xf numFmtId="0" fontId="46" fillId="0" borderId="39" xfId="0" applyFont="1" applyBorder="1" applyAlignment="1" applyProtection="1">
      <alignment/>
      <protection/>
    </xf>
    <xf numFmtId="9" fontId="46" fillId="0" borderId="39" xfId="62" applyFont="1" applyBorder="1" applyAlignment="1" applyProtection="1">
      <alignment horizontal="center"/>
      <protection/>
    </xf>
    <xf numFmtId="0" fontId="12" fillId="0" borderId="37" xfId="58" applyFont="1" applyFill="1" applyBorder="1" applyAlignment="1" applyProtection="1">
      <alignment vertical="center" wrapText="1"/>
      <protection/>
    </xf>
    <xf numFmtId="3" fontId="12" fillId="34" borderId="37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right"/>
    </xf>
    <xf numFmtId="0" fontId="12" fillId="33" borderId="38" xfId="0" applyFont="1" applyFill="1" applyBorder="1" applyAlignment="1">
      <alignment horizontal="center"/>
    </xf>
    <xf numFmtId="0" fontId="12" fillId="33" borderId="37" xfId="58" applyFont="1" applyFill="1" applyBorder="1" applyAlignment="1">
      <alignment vertical="center" wrapText="1"/>
      <protection/>
    </xf>
    <xf numFmtId="0" fontId="46" fillId="33" borderId="37" xfId="0" applyFont="1" applyFill="1" applyBorder="1" applyAlignment="1">
      <alignment horizontal="center"/>
    </xf>
    <xf numFmtId="165" fontId="12" fillId="33" borderId="37" xfId="45" applyNumberFormat="1" applyFont="1" applyFill="1" applyBorder="1" applyAlignment="1">
      <alignment horizontal="center"/>
    </xf>
    <xf numFmtId="165" fontId="12" fillId="33" borderId="16" xfId="45" applyNumberFormat="1" applyFont="1" applyFill="1" applyBorder="1" applyAlignment="1">
      <alignment horizontal="center"/>
    </xf>
    <xf numFmtId="165" fontId="14" fillId="0" borderId="0" xfId="45" applyNumberFormat="1" applyFont="1" applyFill="1" applyBorder="1" applyAlignment="1">
      <alignment horizontal="center"/>
    </xf>
    <xf numFmtId="0" fontId="12" fillId="0" borderId="42" xfId="0" applyFont="1" applyFill="1" applyBorder="1" applyAlignment="1" applyProtection="1">
      <alignment horizontal="center"/>
      <protection/>
    </xf>
    <xf numFmtId="165" fontId="12" fillId="0" borderId="43" xfId="45" applyNumberFormat="1" applyFont="1" applyFill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12" fillId="0" borderId="44" xfId="0" applyFont="1" applyFill="1" applyBorder="1" applyAlignment="1" applyProtection="1">
      <alignment horizontal="center"/>
      <protection/>
    </xf>
    <xf numFmtId="165" fontId="12" fillId="0" borderId="34" xfId="45" applyNumberFormat="1" applyFont="1" applyFill="1" applyBorder="1" applyAlignment="1" applyProtection="1">
      <alignment horizontal="center"/>
      <protection/>
    </xf>
    <xf numFmtId="0" fontId="0" fillId="0" borderId="18" xfId="0" applyBorder="1" applyAlignment="1">
      <alignment vertical="center"/>
    </xf>
    <xf numFmtId="165" fontId="12" fillId="0" borderId="18" xfId="0" applyNumberFormat="1" applyFont="1" applyBorder="1" applyAlignment="1">
      <alignment/>
    </xf>
    <xf numFmtId="3" fontId="12" fillId="0" borderId="18" xfId="0" applyNumberFormat="1" applyFont="1" applyFill="1" applyBorder="1" applyAlignment="1" applyProtection="1">
      <alignment horizontal="center"/>
      <protection/>
    </xf>
    <xf numFmtId="10" fontId="16" fillId="0" borderId="21" xfId="52" applyNumberFormat="1" applyFont="1" applyFill="1" applyBorder="1" applyAlignment="1">
      <alignment horizontal="center" vertical="center"/>
    </xf>
    <xf numFmtId="42" fontId="0" fillId="0" borderId="45" xfId="0" applyNumberFormat="1" applyBorder="1" applyAlignment="1">
      <alignment horizontal="center" vertical="center" wrapText="1"/>
    </xf>
    <xf numFmtId="165" fontId="0" fillId="0" borderId="45" xfId="0" applyNumberFormat="1" applyBorder="1" applyAlignment="1">
      <alignment horizontal="center" vertical="center" wrapText="1"/>
    </xf>
    <xf numFmtId="42" fontId="0" fillId="0" borderId="20" xfId="0" applyNumberForma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5" fontId="0" fillId="0" borderId="18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165" fontId="0" fillId="0" borderId="18" xfId="0" applyNumberFormat="1" applyBorder="1" applyAlignment="1">
      <alignment vertical="center"/>
    </xf>
    <xf numFmtId="165" fontId="0" fillId="0" borderId="15" xfId="0" applyNumberFormat="1" applyBorder="1" applyAlignment="1">
      <alignment horizontal="center" vertical="center"/>
    </xf>
    <xf numFmtId="42" fontId="12" fillId="0" borderId="24" xfId="45" applyNumberFormat="1" applyFont="1" applyFill="1" applyBorder="1" applyAlignment="1">
      <alignment horizontal="center"/>
    </xf>
    <xf numFmtId="42" fontId="12" fillId="0" borderId="15" xfId="45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47" fillId="0" borderId="0" xfId="0" applyFont="1" applyBorder="1" applyAlignment="1">
      <alignment horizontal="right"/>
    </xf>
    <xf numFmtId="164" fontId="47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165" fontId="49" fillId="0" borderId="0" xfId="0" applyNumberFormat="1" applyFont="1" applyFill="1" applyBorder="1" applyAlignment="1">
      <alignment/>
    </xf>
    <xf numFmtId="2" fontId="49" fillId="0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wrapText="1"/>
    </xf>
    <xf numFmtId="0" fontId="0" fillId="0" borderId="17" xfId="0" applyBorder="1" applyAlignment="1">
      <alignment horizontal="right" vertical="center" wrapText="1"/>
    </xf>
    <xf numFmtId="0" fontId="0" fillId="0" borderId="23" xfId="0" applyBorder="1" applyAlignment="1">
      <alignment horizontal="center"/>
    </xf>
    <xf numFmtId="42" fontId="0" fillId="0" borderId="0" xfId="0" applyNumberFormat="1" applyAlignment="1">
      <alignment/>
    </xf>
    <xf numFmtId="0" fontId="0" fillId="0" borderId="17" xfId="0" applyBorder="1" applyAlignment="1">
      <alignment horizontal="right" vertical="center" wrapText="1"/>
    </xf>
    <xf numFmtId="165" fontId="43" fillId="15" borderId="0" xfId="0" applyNumberFormat="1" applyFont="1" applyFill="1" applyAlignment="1">
      <alignment wrapText="1"/>
    </xf>
    <xf numFmtId="165" fontId="43" fillId="14" borderId="47" xfId="0" applyNumberFormat="1" applyFont="1" applyFill="1" applyBorder="1" applyAlignment="1">
      <alignment/>
    </xf>
    <xf numFmtId="165" fontId="14" fillId="16" borderId="47" xfId="45" applyNumberFormat="1" applyFont="1" applyFill="1" applyBorder="1" applyAlignment="1" applyProtection="1">
      <alignment horizontal="center"/>
      <protection/>
    </xf>
    <xf numFmtId="165" fontId="43" fillId="16" borderId="0" xfId="0" applyNumberFormat="1" applyFont="1" applyFill="1" applyAlignment="1">
      <alignment wrapText="1"/>
    </xf>
    <xf numFmtId="165" fontId="43" fillId="14" borderId="0" xfId="0" applyNumberFormat="1" applyFont="1" applyFill="1" applyAlignment="1">
      <alignment wrapText="1"/>
    </xf>
    <xf numFmtId="42" fontId="0" fillId="0" borderId="0" xfId="0" applyNumberFormat="1" applyBorder="1" applyAlignment="1">
      <alignment horizontal="center" vertical="center" wrapText="1"/>
    </xf>
    <xf numFmtId="42" fontId="47" fillId="0" borderId="0" xfId="0" applyNumberFormat="1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42" fontId="0" fillId="0" borderId="14" xfId="0" applyNumberFormat="1" applyFont="1" applyFill="1" applyBorder="1" applyAlignment="1">
      <alignment vertical="center"/>
    </xf>
    <xf numFmtId="165" fontId="0" fillId="0" borderId="15" xfId="0" applyNumberFormat="1" applyFont="1" applyBorder="1" applyAlignment="1">
      <alignment/>
    </xf>
    <xf numFmtId="42" fontId="43" fillId="14" borderId="21" xfId="0" applyNumberFormat="1" applyFont="1" applyFill="1" applyBorder="1" applyAlignment="1">
      <alignment/>
    </xf>
    <xf numFmtId="164" fontId="43" fillId="14" borderId="21" xfId="0" applyNumberFormat="1" applyFont="1" applyFill="1" applyBorder="1" applyAlignment="1">
      <alignment/>
    </xf>
    <xf numFmtId="164" fontId="43" fillId="0" borderId="48" xfId="0" applyNumberFormat="1" applyFont="1" applyFill="1" applyBorder="1" applyAlignment="1">
      <alignment/>
    </xf>
    <xf numFmtId="42" fontId="43" fillId="0" borderId="48" xfId="0" applyNumberFormat="1" applyFont="1" applyFill="1" applyBorder="1" applyAlignment="1">
      <alignment vertical="center"/>
    </xf>
    <xf numFmtId="165" fontId="43" fillId="0" borderId="48" xfId="0" applyNumberFormat="1" applyFont="1" applyFill="1" applyBorder="1" applyAlignment="1">
      <alignment/>
    </xf>
    <xf numFmtId="0" fontId="43" fillId="0" borderId="0" xfId="0" applyFont="1" applyBorder="1" applyAlignment="1">
      <alignment horizontal="center"/>
    </xf>
    <xf numFmtId="165" fontId="43" fillId="16" borderId="27" xfId="0" applyNumberFormat="1" applyFont="1" applyFill="1" applyBorder="1" applyAlignment="1">
      <alignment horizontal="center"/>
    </xf>
    <xf numFmtId="42" fontId="43" fillId="14" borderId="49" xfId="0" applyNumberFormat="1" applyFont="1" applyFill="1" applyBorder="1" applyAlignment="1">
      <alignment vertical="center"/>
    </xf>
    <xf numFmtId="165" fontId="14" fillId="15" borderId="47" xfId="45" applyNumberFormat="1" applyFont="1" applyFill="1" applyBorder="1" applyAlignment="1">
      <alignment horizontal="center"/>
    </xf>
    <xf numFmtId="165" fontId="43" fillId="15" borderId="47" xfId="0" applyNumberFormat="1" applyFont="1" applyFill="1" applyBorder="1" applyAlignment="1" applyProtection="1">
      <alignment/>
      <protection/>
    </xf>
    <xf numFmtId="42" fontId="47" fillId="15" borderId="49" xfId="0" applyNumberFormat="1" applyFont="1" applyFill="1" applyBorder="1" applyAlignment="1">
      <alignment vertical="center"/>
    </xf>
    <xf numFmtId="42" fontId="43" fillId="15" borderId="48" xfId="0" applyNumberFormat="1" applyFont="1" applyFill="1" applyBorder="1" applyAlignment="1">
      <alignment vertical="center"/>
    </xf>
    <xf numFmtId="164" fontId="43" fillId="15" borderId="48" xfId="0" applyNumberFormat="1" applyFont="1" applyFill="1" applyBorder="1" applyAlignment="1">
      <alignment/>
    </xf>
    <xf numFmtId="165" fontId="43" fillId="15" borderId="27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49" fillId="0" borderId="50" xfId="0" applyFont="1" applyBorder="1" applyAlignment="1">
      <alignment horizontal="center"/>
    </xf>
    <xf numFmtId="0" fontId="43" fillId="0" borderId="51" xfId="0" applyFont="1" applyBorder="1" applyAlignment="1">
      <alignment horizontal="right"/>
    </xf>
    <xf numFmtId="0" fontId="47" fillId="0" borderId="0" xfId="0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right"/>
    </xf>
    <xf numFmtId="0" fontId="0" fillId="0" borderId="46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/>
    </xf>
    <xf numFmtId="0" fontId="0" fillId="0" borderId="0" xfId="0" applyBorder="1" applyAlignment="1">
      <alignment horizontal="left" vertical="center" wrapText="1"/>
    </xf>
    <xf numFmtId="165" fontId="46" fillId="0" borderId="18" xfId="0" applyNumberFormat="1" applyFont="1" applyBorder="1" applyAlignment="1">
      <alignment/>
    </xf>
    <xf numFmtId="165" fontId="46" fillId="33" borderId="23" xfId="45" applyNumberFormat="1" applyFont="1" applyFill="1" applyBorder="1" applyAlignment="1">
      <alignment horizontal="center"/>
    </xf>
    <xf numFmtId="165" fontId="46" fillId="33" borderId="18" xfId="45" applyNumberFormat="1" applyFont="1" applyFill="1" applyBorder="1" applyAlignment="1">
      <alignment horizontal="center"/>
    </xf>
    <xf numFmtId="165" fontId="46" fillId="0" borderId="18" xfId="45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0" fillId="0" borderId="0" xfId="0" applyFont="1" applyAlignment="1">
      <alignment horizontal="left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9" fillId="0" borderId="36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49" fillId="0" borderId="50" xfId="0" applyFont="1" applyBorder="1" applyAlignment="1">
      <alignment horizontal="left"/>
    </xf>
    <xf numFmtId="0" fontId="43" fillId="0" borderId="31" xfId="0" applyFont="1" applyBorder="1" applyAlignment="1">
      <alignment horizontal="left" wrapText="1"/>
    </xf>
    <xf numFmtId="0" fontId="0" fillId="0" borderId="17" xfId="0" applyBorder="1" applyAlignment="1">
      <alignment horizontal="left" vertical="center"/>
    </xf>
    <xf numFmtId="0" fontId="43" fillId="0" borderId="52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0" fillId="0" borderId="3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/>
    </xf>
    <xf numFmtId="0" fontId="43" fillId="0" borderId="19" xfId="0" applyFont="1" applyBorder="1" applyAlignment="1">
      <alignment horizontal="left"/>
    </xf>
    <xf numFmtId="42" fontId="0" fillId="0" borderId="19" xfId="0" applyNumberFormat="1" applyBorder="1" applyAlignment="1">
      <alignment horizontal="left" vertical="center" wrapText="1"/>
    </xf>
    <xf numFmtId="42" fontId="0" fillId="0" borderId="45" xfId="0" applyNumberFormat="1" applyBorder="1" applyAlignment="1">
      <alignment horizontal="left" vertical="center" wrapText="1"/>
    </xf>
    <xf numFmtId="0" fontId="0" fillId="0" borderId="22" xfId="0" applyFont="1" applyBorder="1" applyAlignment="1">
      <alignment horizontal="left" wrapText="1"/>
    </xf>
    <xf numFmtId="0" fontId="0" fillId="0" borderId="36" xfId="0" applyBorder="1" applyAlignment="1">
      <alignment horizontal="left" vertical="center" wrapText="1"/>
    </xf>
    <xf numFmtId="0" fontId="0" fillId="0" borderId="17" xfId="0" applyBorder="1" applyAlignment="1">
      <alignment horizontal="left"/>
    </xf>
    <xf numFmtId="0" fontId="12" fillId="0" borderId="0" xfId="0" applyFont="1" applyBorder="1" applyAlignment="1">
      <alignment horizontal="left"/>
    </xf>
    <xf numFmtId="3" fontId="12" fillId="34" borderId="37" xfId="0" applyNumberFormat="1" applyFont="1" applyFill="1" applyBorder="1" applyAlignment="1" applyProtection="1">
      <alignment horizontal="center"/>
      <protection locked="0"/>
    </xf>
    <xf numFmtId="0" fontId="12" fillId="33" borderId="37" xfId="58" applyFont="1" applyFill="1" applyBorder="1" applyAlignment="1">
      <alignment vertical="center" wrapText="1"/>
      <protection/>
    </xf>
    <xf numFmtId="0" fontId="46" fillId="33" borderId="37" xfId="0" applyFont="1" applyFill="1" applyBorder="1" applyAlignment="1">
      <alignment horizontal="center"/>
    </xf>
    <xf numFmtId="165" fontId="12" fillId="33" borderId="37" xfId="45" applyNumberFormat="1" applyFont="1" applyFill="1" applyBorder="1" applyAlignment="1">
      <alignment horizontal="center"/>
    </xf>
    <xf numFmtId="165" fontId="12" fillId="0" borderId="23" xfId="45" applyNumberFormat="1" applyFont="1" applyFill="1" applyBorder="1" applyAlignment="1" applyProtection="1">
      <alignment horizontal="center"/>
      <protection/>
    </xf>
    <xf numFmtId="165" fontId="12" fillId="34" borderId="37" xfId="45" applyNumberFormat="1" applyFont="1" applyFill="1" applyBorder="1" applyAlignment="1">
      <alignment horizontal="center"/>
    </xf>
    <xf numFmtId="3" fontId="12" fillId="33" borderId="37" xfId="0" applyNumberFormat="1" applyFont="1" applyFill="1" applyBorder="1" applyAlignment="1" applyProtection="1">
      <alignment horizontal="center"/>
      <protection locked="0"/>
    </xf>
    <xf numFmtId="0" fontId="43" fillId="14" borderId="0" xfId="0" applyFont="1" applyFill="1" applyAlignment="1">
      <alignment horizontal="center"/>
    </xf>
    <xf numFmtId="0" fontId="43" fillId="0" borderId="0" xfId="0" applyFont="1" applyAlignment="1">
      <alignment horizontal="right" wrapText="1"/>
    </xf>
    <xf numFmtId="0" fontId="50" fillId="0" borderId="0" xfId="0" applyFont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43" fillId="15" borderId="0" xfId="0" applyFont="1" applyFill="1" applyAlignment="1">
      <alignment horizontal="center"/>
    </xf>
    <xf numFmtId="0" fontId="43" fillId="16" borderId="0" xfId="0" applyFont="1" applyFill="1" applyAlignment="1">
      <alignment horizontal="center"/>
    </xf>
    <xf numFmtId="0" fontId="0" fillId="0" borderId="0" xfId="0" applyAlignment="1">
      <alignment horizontal="left" vertical="center" wrapText="1"/>
    </xf>
    <xf numFmtId="0" fontId="43" fillId="0" borderId="0" xfId="0" applyFont="1" applyBorder="1" applyAlignment="1">
      <alignment horizontal="center"/>
    </xf>
    <xf numFmtId="0" fontId="18" fillId="0" borderId="53" xfId="0" applyFont="1" applyBorder="1" applyAlignment="1" applyProtection="1">
      <alignment horizontal="right"/>
      <protection/>
    </xf>
    <xf numFmtId="0" fontId="18" fillId="0" borderId="54" xfId="0" applyFont="1" applyBorder="1" applyAlignment="1" applyProtection="1">
      <alignment horizontal="right"/>
      <protection/>
    </xf>
    <xf numFmtId="0" fontId="18" fillId="0" borderId="54" xfId="0" applyFont="1" applyBorder="1" applyAlignment="1" applyProtection="1">
      <alignment horizontal="right"/>
      <protection locked="0"/>
    </xf>
    <xf numFmtId="0" fontId="18" fillId="0" borderId="55" xfId="0" applyFont="1" applyBorder="1" applyAlignment="1" applyProtection="1">
      <alignment horizontal="right"/>
      <protection/>
    </xf>
    <xf numFmtId="0" fontId="14" fillId="0" borderId="56" xfId="0" applyFont="1" applyBorder="1" applyAlignment="1">
      <alignment horizontal="right"/>
    </xf>
    <xf numFmtId="0" fontId="14" fillId="0" borderId="50" xfId="0" applyFont="1" applyBorder="1" applyAlignment="1">
      <alignment horizontal="right"/>
    </xf>
    <xf numFmtId="0" fontId="14" fillId="0" borderId="57" xfId="0" applyFont="1" applyBorder="1" applyAlignment="1">
      <alignment horizontal="right"/>
    </xf>
    <xf numFmtId="0" fontId="43" fillId="16" borderId="0" xfId="0" applyFont="1" applyFill="1" applyAlignment="1" applyProtection="1">
      <alignment horizontal="center"/>
      <protection/>
    </xf>
    <xf numFmtId="0" fontId="14" fillId="0" borderId="56" xfId="0" applyFont="1" applyBorder="1" applyAlignment="1" applyProtection="1">
      <alignment horizontal="right"/>
      <protection/>
    </xf>
    <xf numFmtId="0" fontId="14" fillId="0" borderId="50" xfId="0" applyFont="1" applyBorder="1" applyAlignment="1" applyProtection="1">
      <alignment horizontal="right"/>
      <protection/>
    </xf>
    <xf numFmtId="0" fontId="14" fillId="0" borderId="50" xfId="0" applyFont="1" applyBorder="1" applyAlignment="1" applyProtection="1">
      <alignment horizontal="right"/>
      <protection locked="0"/>
    </xf>
    <xf numFmtId="0" fontId="14" fillId="0" borderId="57" xfId="0" applyFont="1" applyBorder="1" applyAlignment="1" applyProtection="1">
      <alignment horizontal="right"/>
      <protection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25" xfId="0" applyFont="1" applyBorder="1" applyAlignment="1">
      <alignment horizontal="center" wrapText="1"/>
    </xf>
    <xf numFmtId="0" fontId="43" fillId="0" borderId="58" xfId="0" applyFont="1" applyBorder="1" applyAlignment="1">
      <alignment horizontal="center" wrapText="1"/>
    </xf>
    <xf numFmtId="165" fontId="0" fillId="0" borderId="23" xfId="0" applyNumberFormat="1" applyBorder="1" applyAlignment="1">
      <alignment horizontal="center"/>
    </xf>
    <xf numFmtId="0" fontId="0" fillId="0" borderId="0" xfId="0" applyAlignment="1">
      <alignment wrapText="1"/>
    </xf>
    <xf numFmtId="165" fontId="0" fillId="0" borderId="18" xfId="0" applyNumberFormat="1" applyBorder="1" applyAlignment="1">
      <alignment horizontal="center"/>
    </xf>
    <xf numFmtId="0" fontId="43" fillId="0" borderId="59" xfId="0" applyFont="1" applyBorder="1" applyAlignment="1">
      <alignment horizontal="right"/>
    </xf>
    <xf numFmtId="0" fontId="43" fillId="0" borderId="26" xfId="0" applyFont="1" applyBorder="1" applyAlignment="1">
      <alignment horizontal="right"/>
    </xf>
    <xf numFmtId="0" fontId="49" fillId="0" borderId="50" xfId="0" applyFont="1" applyBorder="1" applyAlignment="1">
      <alignment horizontal="center"/>
    </xf>
    <xf numFmtId="0" fontId="0" fillId="0" borderId="60" xfId="0" applyBorder="1" applyAlignment="1">
      <alignment horizontal="left" wrapText="1"/>
    </xf>
    <xf numFmtId="0" fontId="0" fillId="0" borderId="61" xfId="0" applyBorder="1" applyAlignment="1">
      <alignment horizontal="left" wrapText="1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43" fillId="0" borderId="50" xfId="0" applyFont="1" applyBorder="1" applyAlignment="1">
      <alignment horizontal="left" wrapText="1"/>
    </xf>
    <xf numFmtId="0" fontId="50" fillId="0" borderId="0" xfId="0" applyFont="1" applyBorder="1" applyAlignment="1">
      <alignment horizontal="center"/>
    </xf>
    <xf numFmtId="0" fontId="0" fillId="0" borderId="36" xfId="0" applyBorder="1" applyAlignment="1">
      <alignment horizontal="right"/>
    </xf>
    <xf numFmtId="0" fontId="0" fillId="0" borderId="46" xfId="0" applyBorder="1" applyAlignment="1">
      <alignment horizontal="right"/>
    </xf>
    <xf numFmtId="0" fontId="43" fillId="15" borderId="0" xfId="0" applyFont="1" applyFill="1" applyAlignment="1" applyProtection="1">
      <alignment horizontal="center"/>
      <protection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right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44" xfId="0" applyBorder="1" applyAlignment="1">
      <alignment horizontal="right" vertical="center" wrapText="1"/>
    </xf>
    <xf numFmtId="0" fontId="0" fillId="0" borderId="39" xfId="0" applyBorder="1" applyAlignment="1">
      <alignment/>
    </xf>
    <xf numFmtId="0" fontId="0" fillId="0" borderId="0" xfId="0" applyBorder="1" applyAlignment="1">
      <alignment horizontal="left" wrapText="1"/>
    </xf>
    <xf numFmtId="0" fontId="49" fillId="0" borderId="50" xfId="0" applyFont="1" applyBorder="1" applyAlignment="1">
      <alignment horizontal="center" vertical="center" wrapText="1"/>
    </xf>
    <xf numFmtId="0" fontId="43" fillId="0" borderId="52" xfId="0" applyFont="1" applyBorder="1" applyAlignment="1">
      <alignment horizontal="right"/>
    </xf>
    <xf numFmtId="0" fontId="43" fillId="0" borderId="51" xfId="0" applyFont="1" applyBorder="1" applyAlignment="1">
      <alignment horizontal="right"/>
    </xf>
    <xf numFmtId="0" fontId="43" fillId="0" borderId="52" xfId="0" applyFont="1" applyBorder="1" applyAlignment="1">
      <alignment horizontal="right" vertical="center" wrapText="1"/>
    </xf>
    <xf numFmtId="0" fontId="0" fillId="0" borderId="51" xfId="0" applyFont="1" applyBorder="1" applyAlignment="1">
      <alignment/>
    </xf>
    <xf numFmtId="0" fontId="0" fillId="0" borderId="36" xfId="0" applyBorder="1" applyAlignment="1">
      <alignment horizontal="right" vertical="center" wrapText="1"/>
    </xf>
    <xf numFmtId="0" fontId="0" fillId="0" borderId="46" xfId="0" applyBorder="1" applyAlignment="1">
      <alignment/>
    </xf>
    <xf numFmtId="0" fontId="0" fillId="0" borderId="19" xfId="0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43" fillId="1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46" xfId="0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0" fontId="0" fillId="0" borderId="37" xfId="0" applyBorder="1" applyAlignment="1">
      <alignment horizontal="right" vertical="center" wrapText="1"/>
    </xf>
    <xf numFmtId="0" fontId="47" fillId="0" borderId="62" xfId="0" applyFont="1" applyBorder="1" applyAlignment="1">
      <alignment horizontal="right" vertical="center" wrapText="1"/>
    </xf>
    <xf numFmtId="0" fontId="47" fillId="0" borderId="63" xfId="0" applyFont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43" fillId="15" borderId="0" xfId="0" applyFont="1" applyFill="1" applyBorder="1" applyAlignment="1">
      <alignment horizontal="center"/>
    </xf>
    <xf numFmtId="165" fontId="0" fillId="0" borderId="64" xfId="0" applyNumberFormat="1" applyBorder="1" applyAlignment="1">
      <alignment horizontal="center"/>
    </xf>
    <xf numFmtId="165" fontId="0" fillId="0" borderId="65" xfId="0" applyNumberFormat="1" applyBorder="1" applyAlignment="1">
      <alignment horizontal="center"/>
    </xf>
    <xf numFmtId="0" fontId="0" fillId="0" borderId="59" xfId="0" applyBorder="1" applyAlignment="1">
      <alignment horizontal="left"/>
    </xf>
    <xf numFmtId="0" fontId="0" fillId="0" borderId="26" xfId="0" applyBorder="1" applyAlignment="1">
      <alignment horizontal="left"/>
    </xf>
    <xf numFmtId="0" fontId="43" fillId="0" borderId="50" xfId="0" applyFont="1" applyBorder="1" applyAlignment="1">
      <alignment horizontal="center" wrapText="1"/>
    </xf>
    <xf numFmtId="0" fontId="14" fillId="0" borderId="60" xfId="0" applyFont="1" applyBorder="1" applyAlignment="1">
      <alignment horizontal="right"/>
    </xf>
    <xf numFmtId="0" fontId="14" fillId="0" borderId="66" xfId="0" applyFont="1" applyBorder="1" applyAlignment="1">
      <alignment horizontal="right"/>
    </xf>
    <xf numFmtId="0" fontId="14" fillId="0" borderId="61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43" fillId="0" borderId="62" xfId="0" applyFont="1" applyBorder="1" applyAlignment="1">
      <alignment horizontal="right" vertical="center" wrapText="1"/>
    </xf>
    <xf numFmtId="0" fontId="43" fillId="0" borderId="63" xfId="0" applyFont="1" applyBorder="1" applyAlignment="1">
      <alignment horizontal="right" vertical="center" wrapText="1"/>
    </xf>
    <xf numFmtId="0" fontId="43" fillId="14" borderId="0" xfId="0" applyFont="1" applyFill="1" applyBorder="1" applyAlignment="1">
      <alignment horizontal="center" vertical="center" wrapText="1"/>
    </xf>
    <xf numFmtId="0" fontId="43" fillId="14" borderId="5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heck Cell" xfId="40"/>
    <cellStyle name="Comma" xfId="41"/>
    <cellStyle name="Comma [0]" xfId="42"/>
    <cellStyle name="Currency" xfId="43"/>
    <cellStyle name="Currency [0]" xfId="44"/>
    <cellStyle name="Currency 2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8" xfId="55"/>
    <cellStyle name="Normal 2 8" xfId="56"/>
    <cellStyle name="Normal 4" xfId="57"/>
    <cellStyle name="Normal 8" xfId="58"/>
    <cellStyle name="Normal 9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J48"/>
  <sheetViews>
    <sheetView tabSelected="1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38.57421875" style="0" customWidth="1"/>
    <col min="2" max="2" width="14.00390625" style="0" bestFit="1" customWidth="1"/>
    <col min="3" max="3" width="12.7109375" style="0" customWidth="1"/>
    <col min="4" max="4" width="15.8515625" style="0" customWidth="1"/>
    <col min="5" max="5" width="13.28125" style="0" bestFit="1" customWidth="1"/>
    <col min="7" max="7" width="12.57421875" style="0" bestFit="1" customWidth="1"/>
  </cols>
  <sheetData>
    <row r="1" spans="1:4" s="8" customFormat="1" ht="15.75">
      <c r="A1" s="284" t="s">
        <v>156</v>
      </c>
      <c r="B1" s="284"/>
      <c r="C1" s="284"/>
      <c r="D1" s="284"/>
    </row>
    <row r="2" s="8" customFormat="1" ht="15"/>
    <row r="3" spans="1:4" s="8" customFormat="1" ht="15.75" thickBot="1">
      <c r="A3" s="289" t="s">
        <v>176</v>
      </c>
      <c r="B3" s="289"/>
      <c r="C3" s="289"/>
      <c r="D3" s="289"/>
    </row>
    <row r="4" spans="1:3" ht="15">
      <c r="A4" s="121" t="s">
        <v>7</v>
      </c>
      <c r="B4" s="157">
        <v>0</v>
      </c>
      <c r="C4" s="8" t="s">
        <v>108</v>
      </c>
    </row>
    <row r="5" spans="1:2" s="8" customFormat="1" ht="30">
      <c r="A5" s="211" t="s">
        <v>96</v>
      </c>
      <c r="B5" s="158">
        <v>0</v>
      </c>
    </row>
    <row r="6" spans="1:7" s="8" customFormat="1" ht="30">
      <c r="A6" s="119" t="s">
        <v>94</v>
      </c>
      <c r="B6" s="158">
        <v>0</v>
      </c>
      <c r="C6" s="3"/>
      <c r="D6" s="3"/>
      <c r="E6" s="3"/>
      <c r="F6" s="2"/>
      <c r="G6" s="2"/>
    </row>
    <row r="7" spans="1:7" ht="15">
      <c r="A7" s="214" t="s">
        <v>180</v>
      </c>
      <c r="B7" s="61">
        <v>20</v>
      </c>
      <c r="C7" s="3"/>
      <c r="D7" s="3"/>
      <c r="E7" s="3"/>
      <c r="F7" s="2"/>
      <c r="G7" s="2"/>
    </row>
    <row r="8" spans="1:7" ht="15">
      <c r="A8" s="119" t="s">
        <v>9</v>
      </c>
      <c r="B8" s="112">
        <v>0.034</v>
      </c>
      <c r="C8" s="3"/>
      <c r="D8" s="3"/>
      <c r="F8" s="3"/>
      <c r="G8" s="3"/>
    </row>
    <row r="9" spans="1:7" ht="15">
      <c r="A9" s="119" t="s">
        <v>20</v>
      </c>
      <c r="B9" s="112">
        <v>0.043</v>
      </c>
      <c r="C9" s="3"/>
      <c r="D9" s="3"/>
      <c r="E9" s="3"/>
      <c r="F9" s="3"/>
      <c r="G9" s="3"/>
    </row>
    <row r="10" spans="1:7" ht="15">
      <c r="A10" s="119" t="s">
        <v>38</v>
      </c>
      <c r="B10" s="112">
        <v>0.0294</v>
      </c>
      <c r="C10" s="3"/>
      <c r="D10" s="3"/>
      <c r="F10" s="3"/>
      <c r="G10" s="3"/>
    </row>
    <row r="11" spans="1:7" ht="15.75" customHeight="1" thickBot="1">
      <c r="A11" s="120" t="s">
        <v>77</v>
      </c>
      <c r="B11" s="186">
        <v>0.0223</v>
      </c>
      <c r="C11" s="3"/>
      <c r="D11" s="3"/>
      <c r="F11" s="3"/>
      <c r="G11" s="3"/>
    </row>
    <row r="12" spans="1:7" ht="15">
      <c r="A12" s="4" t="s">
        <v>16</v>
      </c>
      <c r="B12" s="2"/>
      <c r="C12" s="3"/>
      <c r="D12" s="3"/>
      <c r="E12" s="3"/>
      <c r="F12" s="3"/>
      <c r="G12" s="3"/>
    </row>
    <row r="13" spans="1:7" s="8" customFormat="1" ht="15">
      <c r="A13" s="288" t="s">
        <v>113</v>
      </c>
      <c r="B13" s="288"/>
      <c r="C13" s="288"/>
      <c r="D13" s="288"/>
      <c r="E13" s="3"/>
      <c r="F13" s="3"/>
      <c r="G13" s="3"/>
    </row>
    <row r="14" spans="1:7" s="8" customFormat="1" ht="31.5" customHeight="1">
      <c r="A14" s="288" t="s">
        <v>129</v>
      </c>
      <c r="B14" s="288"/>
      <c r="C14" s="288"/>
      <c r="D14" s="288"/>
      <c r="E14" s="3"/>
      <c r="F14" s="3"/>
      <c r="G14" s="3"/>
    </row>
    <row r="15" spans="1:7" s="8" customFormat="1" ht="29.25" customHeight="1">
      <c r="A15" s="288" t="s">
        <v>114</v>
      </c>
      <c r="B15" s="288"/>
      <c r="C15" s="288"/>
      <c r="D15" s="288"/>
      <c r="E15" s="3"/>
      <c r="F15" s="3"/>
      <c r="G15" s="3"/>
    </row>
    <row r="16" spans="1:7" s="8" customFormat="1" ht="30.75" customHeight="1">
      <c r="A16" s="288" t="s">
        <v>130</v>
      </c>
      <c r="B16" s="288"/>
      <c r="C16" s="288"/>
      <c r="D16" s="288"/>
      <c r="E16" s="3"/>
      <c r="F16" s="3"/>
      <c r="G16" s="3"/>
    </row>
    <row r="18" spans="1:4" s="8" customFormat="1" ht="15">
      <c r="A18" s="287" t="s">
        <v>46</v>
      </c>
      <c r="B18" s="287"/>
      <c r="C18" s="287"/>
      <c r="D18" s="287"/>
    </row>
    <row r="19" spans="1:4" s="8" customFormat="1" ht="45.75" thickBot="1">
      <c r="A19" s="21" t="s">
        <v>12</v>
      </c>
      <c r="B19" s="22" t="s">
        <v>10</v>
      </c>
      <c r="C19" s="22" t="s">
        <v>37</v>
      </c>
      <c r="D19" s="22" t="s">
        <v>159</v>
      </c>
    </row>
    <row r="20" spans="1:4" s="8" customFormat="1" ht="15.75" thickTop="1">
      <c r="A20" s="8" t="s">
        <v>36</v>
      </c>
      <c r="B20" s="11">
        <f>Oversizing!F28+'Gravity Option - Construction'!F30</f>
        <v>0</v>
      </c>
      <c r="C20" s="13">
        <f>(1+$B$8)^($B$4-2010)</f>
        <v>6.512040555455832E-30</v>
      </c>
      <c r="D20" s="11">
        <f>C20*B20</f>
        <v>0</v>
      </c>
    </row>
    <row r="21" spans="1:4" s="8" customFormat="1" ht="15">
      <c r="A21" s="8" t="s">
        <v>29</v>
      </c>
      <c r="B21" s="11">
        <f>'Gravity Option - O&amp;M costs'!F16</f>
        <v>0</v>
      </c>
      <c r="C21" s="13">
        <f>(1+$B$10)^($B$4-2010)</f>
        <v>5.079611907169622E-26</v>
      </c>
      <c r="D21" s="11">
        <f>C21*B21</f>
        <v>0</v>
      </c>
    </row>
    <row r="22" spans="1:4" s="8" customFormat="1" ht="15">
      <c r="A22" s="8" t="s">
        <v>26</v>
      </c>
      <c r="B22" s="11">
        <v>0</v>
      </c>
      <c r="C22" s="13">
        <f>(1+$B$9)^($B$4-2010)</f>
        <v>1.7723115292809707E-37</v>
      </c>
      <c r="D22" s="11">
        <f>C22*B22</f>
        <v>0</v>
      </c>
    </row>
    <row r="23" spans="1:4" s="8" customFormat="1" ht="15.75" thickBot="1">
      <c r="A23" s="14" t="s">
        <v>157</v>
      </c>
      <c r="B23" s="15">
        <f>-B20*(1-$B$7/40)</f>
        <v>0</v>
      </c>
      <c r="C23" s="16">
        <f>(1+$B$8)^($B$4-2010)</f>
        <v>6.512040555455832E-30</v>
      </c>
      <c r="D23" s="15">
        <f>C23*B23</f>
        <v>0</v>
      </c>
    </row>
    <row r="24" spans="1:4" s="8" customFormat="1" ht="15.75" thickTop="1">
      <c r="A24" s="283" t="s">
        <v>182</v>
      </c>
      <c r="B24" s="283"/>
      <c r="C24" s="283"/>
      <c r="D24" s="218">
        <f>ROUND(SUM(D20:D23),-3)</f>
        <v>0</v>
      </c>
    </row>
    <row r="25" s="8" customFormat="1" ht="15"/>
    <row r="26" s="8" customFormat="1" ht="15"/>
    <row r="27" spans="1:7" ht="15">
      <c r="A27" s="286" t="s">
        <v>79</v>
      </c>
      <c r="B27" s="286"/>
      <c r="C27" s="286"/>
      <c r="D27" s="286"/>
      <c r="G27" s="12"/>
    </row>
    <row r="28" spans="1:4" ht="45.75" thickBot="1">
      <c r="A28" s="21" t="s">
        <v>12</v>
      </c>
      <c r="B28" s="22" t="s">
        <v>10</v>
      </c>
      <c r="C28" s="22" t="s">
        <v>37</v>
      </c>
      <c r="D28" s="22" t="s">
        <v>159</v>
      </c>
    </row>
    <row r="29" spans="1:10" ht="15.75" thickTop="1">
      <c r="A29" s="8" t="s">
        <v>36</v>
      </c>
      <c r="B29" s="11">
        <f>'LS Option-LS &amp; FM Construction'!F16+'LS Option-Gravity Construction'!F30</f>
        <v>187000</v>
      </c>
      <c r="C29" s="13">
        <f>(1+$B$8)^($B$4-2010)</f>
        <v>6.512040555455832E-30</v>
      </c>
      <c r="D29" s="213">
        <f>C29*B29</f>
        <v>1.2177515838702406E-24</v>
      </c>
      <c r="J29" s="2"/>
    </row>
    <row r="30" spans="1:10" s="8" customFormat="1" ht="15">
      <c r="A30" s="8" t="s">
        <v>26</v>
      </c>
      <c r="B30" s="11">
        <f>'LS Option - O&amp;M Cost'!E18</f>
        <v>9000</v>
      </c>
      <c r="C30" s="13">
        <f>(1+$B$9)^($B$4-2010)</f>
        <v>1.7723115292809707E-37</v>
      </c>
      <c r="D30" s="11">
        <f>C30*B30</f>
        <v>1.5950803763528735E-33</v>
      </c>
      <c r="J30" s="2"/>
    </row>
    <row r="31" spans="1:10" s="8" customFormat="1" ht="15">
      <c r="A31" s="8" t="s">
        <v>166</v>
      </c>
      <c r="B31" s="11">
        <f>'LS Option - O&amp;M Cost'!E28</f>
        <v>89000</v>
      </c>
      <c r="C31" s="13">
        <f>(1+$B$10)^($B$4-2010)</f>
        <v>5.079611907169622E-26</v>
      </c>
      <c r="D31" s="213">
        <f>C31*B31</f>
        <v>4.5208545973809636E-21</v>
      </c>
      <c r="J31" s="2"/>
    </row>
    <row r="32" spans="1:4" ht="15">
      <c r="A32" s="8" t="s">
        <v>155</v>
      </c>
      <c r="B32" s="11">
        <f>'LS Option - O&amp;M Cost'!G48</f>
        <v>75000</v>
      </c>
      <c r="C32" s="13">
        <f>(1+$B$10)^($B$4-2010)</f>
        <v>5.079611907169622E-26</v>
      </c>
      <c r="D32" s="213">
        <f>C32*B32</f>
        <v>3.8097089303772164E-21</v>
      </c>
    </row>
    <row r="33" spans="1:4" s="8" customFormat="1" ht="15">
      <c r="A33" s="8" t="s">
        <v>146</v>
      </c>
      <c r="B33" s="11">
        <f>'LS Option - O&amp;M Cost'!F65</f>
        <v>0</v>
      </c>
      <c r="C33" s="13">
        <f>(1+$B$10)^($B$4-2010)</f>
        <v>5.079611907169622E-26</v>
      </c>
      <c r="D33" s="11">
        <f>C33*B33</f>
        <v>0</v>
      </c>
    </row>
    <row r="34" spans="1:4" s="8" customFormat="1" ht="15.75" thickBot="1">
      <c r="A34" s="14" t="s">
        <v>157</v>
      </c>
      <c r="B34" s="15">
        <f>-B29*(1-$B$7/40)</f>
        <v>-93500</v>
      </c>
      <c r="C34" s="16">
        <f>(1+$B$8)^($B$4-2010)</f>
        <v>6.512040555455832E-30</v>
      </c>
      <c r="D34" s="15">
        <f>C34*B34</f>
        <v>-6.088757919351203E-25</v>
      </c>
    </row>
    <row r="35" spans="1:4" ht="15.75" thickTop="1">
      <c r="A35" s="283" t="s">
        <v>181</v>
      </c>
      <c r="B35" s="283"/>
      <c r="C35" s="283"/>
      <c r="D35" s="215">
        <f>ROUND(SUM(D29:D34),-3)</f>
        <v>0</v>
      </c>
    </row>
    <row r="38" spans="1:4" ht="15">
      <c r="A38" s="282" t="s">
        <v>80</v>
      </c>
      <c r="B38" s="282"/>
      <c r="C38" s="282"/>
      <c r="D38" s="282"/>
    </row>
    <row r="39" spans="1:4" ht="45.75" thickBot="1">
      <c r="A39" s="21" t="s">
        <v>12</v>
      </c>
      <c r="B39" s="22" t="s">
        <v>10</v>
      </c>
      <c r="C39" s="22" t="s">
        <v>37</v>
      </c>
      <c r="D39" s="22" t="s">
        <v>159</v>
      </c>
    </row>
    <row r="40" spans="1:4" ht="15.75" thickTop="1">
      <c r="A40" s="8" t="s">
        <v>36</v>
      </c>
      <c r="B40" s="11">
        <f>'LowPressureOption-Construction'!F19</f>
        <v>0</v>
      </c>
      <c r="C40" s="13">
        <f>(1+$B$8)^($B$4-2010)</f>
        <v>6.512040555455832E-30</v>
      </c>
      <c r="D40" s="11">
        <f>C40*B40</f>
        <v>0</v>
      </c>
    </row>
    <row r="41" spans="1:4" ht="15">
      <c r="A41" s="8" t="s">
        <v>143</v>
      </c>
      <c r="B41" s="11">
        <f>'LowPressureOption-O&amp;M Cost'!G41</f>
        <v>0</v>
      </c>
      <c r="C41" s="13">
        <f>(1+$B$10)^($B$4-2010)</f>
        <v>5.079611907169622E-26</v>
      </c>
      <c r="D41" s="11">
        <f>C41*B41</f>
        <v>0</v>
      </c>
    </row>
    <row r="42" spans="1:4" ht="15">
      <c r="A42" s="8" t="s">
        <v>144</v>
      </c>
      <c r="B42" s="11">
        <f>'LowPressureOption-O&amp;M Cost'!G66</f>
        <v>43000</v>
      </c>
      <c r="C42" s="13">
        <f>(1+$B$10)^($B$4-2010)</f>
        <v>5.079611907169622E-26</v>
      </c>
      <c r="D42" s="11">
        <f>C42*B42</f>
        <v>2.1842331200829375E-21</v>
      </c>
    </row>
    <row r="43" spans="1:4" s="8" customFormat="1" ht="15.75" thickBot="1">
      <c r="A43" s="14" t="s">
        <v>157</v>
      </c>
      <c r="B43" s="15">
        <f>-B40*(1-$B$7/40)</f>
        <v>0</v>
      </c>
      <c r="C43" s="16">
        <f>(1+$B$8)^($B$4-2010)</f>
        <v>6.512040555455832E-30</v>
      </c>
      <c r="D43" s="15">
        <f>C43*B43</f>
        <v>0</v>
      </c>
    </row>
    <row r="44" spans="1:4" ht="15.75" thickTop="1">
      <c r="A44" s="283" t="s">
        <v>183</v>
      </c>
      <c r="B44" s="283"/>
      <c r="C44" s="283"/>
      <c r="D44" s="219">
        <f>ROUND(SUM(D40:D43),-3)</f>
        <v>0</v>
      </c>
    </row>
    <row r="45" spans="1:4" ht="15">
      <c r="A45" s="207" t="s">
        <v>145</v>
      </c>
      <c r="B45" s="208">
        <f>'LowPressureOption-O&amp;M Cost'!E18</f>
        <v>0</v>
      </c>
      <c r="C45" s="209">
        <f>(1+$B$9)^($B$4-2010)</f>
        <v>1.7723115292809707E-37</v>
      </c>
      <c r="D45" s="208">
        <f>ROUND(C45*B45,-3)</f>
        <v>0</v>
      </c>
    </row>
    <row r="46" spans="1:4" s="8" customFormat="1" ht="15">
      <c r="A46" s="51"/>
      <c r="B46" s="205"/>
      <c r="C46" s="206"/>
      <c r="D46" s="205"/>
    </row>
    <row r="47" spans="1:7" ht="15" customHeight="1">
      <c r="A47" s="285" t="s">
        <v>158</v>
      </c>
      <c r="B47" s="285"/>
      <c r="C47" s="285"/>
      <c r="D47" s="285"/>
      <c r="E47" s="20"/>
      <c r="F47" s="20"/>
      <c r="G47" s="20"/>
    </row>
    <row r="48" spans="1:7" ht="30.75" customHeight="1">
      <c r="A48" s="285"/>
      <c r="B48" s="285"/>
      <c r="C48" s="285"/>
      <c r="D48" s="285"/>
      <c r="E48" s="20"/>
      <c r="F48" s="20"/>
      <c r="G48" s="20"/>
    </row>
  </sheetData>
  <sheetProtection selectLockedCells="1"/>
  <mergeCells count="13">
    <mergeCell ref="A38:D38"/>
    <mergeCell ref="A44:C44"/>
    <mergeCell ref="A1:D1"/>
    <mergeCell ref="A47:D48"/>
    <mergeCell ref="A24:C24"/>
    <mergeCell ref="A35:C35"/>
    <mergeCell ref="A27:D27"/>
    <mergeCell ref="A18:D18"/>
    <mergeCell ref="A13:D13"/>
    <mergeCell ref="A14:D14"/>
    <mergeCell ref="A15:D15"/>
    <mergeCell ref="A16:D16"/>
    <mergeCell ref="A3:D3"/>
  </mergeCells>
  <printOptions/>
  <pageMargins left="0.7" right="0.7" top="0.75" bottom="0.75" header="0.3" footer="0.3"/>
  <pageSetup fitToHeight="1" fitToWidth="1" horizontalDpi="600" verticalDpi="600" orientation="portrait" scale="77" r:id="rId1"/>
  <headerFooter>
    <oddHeader>&amp;C&amp;"-,Bold Italic"Appendix A - 20-Year Life Cylce Cost Summary Worksheets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F34"/>
  <sheetViews>
    <sheetView zoomScaleSheetLayoutView="115" zoomScalePageLayoutView="0" workbookViewId="0" topLeftCell="A1">
      <selection activeCell="F27" sqref="F27"/>
    </sheetView>
  </sheetViews>
  <sheetFormatPr defaultColWidth="9.140625" defaultRowHeight="15"/>
  <cols>
    <col min="1" max="1" width="10.140625" style="0" customWidth="1"/>
    <col min="2" max="2" width="75.28125" style="0" customWidth="1"/>
    <col min="4" max="4" width="11.28125" style="0" bestFit="1" customWidth="1"/>
    <col min="5" max="5" width="14.28125" style="0" customWidth="1"/>
    <col min="6" max="6" width="16.28125" style="0" bestFit="1" customWidth="1"/>
    <col min="7" max="7" width="9.28125" style="0" bestFit="1" customWidth="1"/>
  </cols>
  <sheetData>
    <row r="1" spans="1:6" s="8" customFormat="1" ht="15.75">
      <c r="A1" s="284" t="s">
        <v>190</v>
      </c>
      <c r="B1" s="284"/>
      <c r="C1" s="284"/>
      <c r="D1" s="284"/>
      <c r="E1" s="284"/>
      <c r="F1" s="284"/>
    </row>
    <row r="2" spans="1:6" s="8" customFormat="1" ht="15">
      <c r="A2" s="289" t="s">
        <v>176</v>
      </c>
      <c r="B2" s="289"/>
      <c r="C2" s="289"/>
      <c r="D2" s="289"/>
      <c r="E2" s="289"/>
      <c r="F2" s="289"/>
    </row>
    <row r="3" spans="1:6" s="8" customFormat="1" ht="15">
      <c r="A3" s="231"/>
      <c r="B3" s="231"/>
      <c r="C3" s="231"/>
      <c r="D3" s="231"/>
      <c r="E3" s="231"/>
      <c r="F3" s="231"/>
    </row>
    <row r="4" spans="1:6" ht="15.75" thickBot="1">
      <c r="A4" s="287" t="s">
        <v>196</v>
      </c>
      <c r="B4" s="287"/>
      <c r="C4" s="287"/>
      <c r="D4" s="287"/>
      <c r="E4" s="287"/>
      <c r="F4" s="287"/>
    </row>
    <row r="5" spans="1:6" ht="15.75" thickBot="1">
      <c r="A5" s="25" t="s">
        <v>47</v>
      </c>
      <c r="B5" s="26" t="s">
        <v>0</v>
      </c>
      <c r="C5" s="26" t="s">
        <v>42</v>
      </c>
      <c r="D5" s="26" t="s">
        <v>48</v>
      </c>
      <c r="E5" s="26" t="s">
        <v>1</v>
      </c>
      <c r="F5" s="27" t="s">
        <v>2</v>
      </c>
    </row>
    <row r="6" spans="1:6" ht="15.75" thickTop="1">
      <c r="A6" s="62">
        <v>1</v>
      </c>
      <c r="B6" s="63" t="s">
        <v>55</v>
      </c>
      <c r="C6" s="64" t="s">
        <v>41</v>
      </c>
      <c r="D6" s="122"/>
      <c r="E6" s="69">
        <v>111.37836377448754</v>
      </c>
      <c r="F6" s="65">
        <f aca="true" t="shared" si="0" ref="F6:F24">E6*D6</f>
        <v>0</v>
      </c>
    </row>
    <row r="7" spans="1:6" ht="15">
      <c r="A7" s="66">
        <f>A6+1</f>
        <v>2</v>
      </c>
      <c r="B7" s="67" t="s">
        <v>56</v>
      </c>
      <c r="C7" s="68" t="s">
        <v>41</v>
      </c>
      <c r="D7" s="123"/>
      <c r="E7" s="69">
        <v>121.67324711830508</v>
      </c>
      <c r="F7" s="70">
        <f t="shared" si="0"/>
        <v>0</v>
      </c>
    </row>
    <row r="8" spans="1:6" ht="15">
      <c r="A8" s="66">
        <f>A7+1</f>
        <v>3</v>
      </c>
      <c r="B8" s="67" t="s">
        <v>184</v>
      </c>
      <c r="C8" s="68" t="s">
        <v>41</v>
      </c>
      <c r="D8" s="123"/>
      <c r="E8" s="69">
        <v>128.84375066470503</v>
      </c>
      <c r="F8" s="70">
        <f t="shared" si="0"/>
        <v>0</v>
      </c>
    </row>
    <row r="9" spans="1:6" ht="15">
      <c r="A9" s="58">
        <v>4</v>
      </c>
      <c r="B9" s="71" t="s">
        <v>57</v>
      </c>
      <c r="C9" s="59" t="s">
        <v>41</v>
      </c>
      <c r="D9" s="123"/>
      <c r="E9" s="60">
        <v>130.8214069821469</v>
      </c>
      <c r="F9" s="72">
        <f t="shared" si="0"/>
        <v>0</v>
      </c>
    </row>
    <row r="10" spans="1:6" ht="15">
      <c r="A10" s="58">
        <v>5</v>
      </c>
      <c r="B10" s="71" t="s">
        <v>58</v>
      </c>
      <c r="C10" s="59" t="s">
        <v>41</v>
      </c>
      <c r="D10" s="123"/>
      <c r="E10" s="60">
        <v>141.51973104208142</v>
      </c>
      <c r="F10" s="72">
        <f t="shared" si="0"/>
        <v>0</v>
      </c>
    </row>
    <row r="11" spans="1:6" ht="15">
      <c r="A11" s="58">
        <v>6</v>
      </c>
      <c r="B11" s="71" t="s">
        <v>185</v>
      </c>
      <c r="C11" s="59" t="s">
        <v>41</v>
      </c>
      <c r="D11" s="123"/>
      <c r="E11" s="60">
        <v>149.51555512337814</v>
      </c>
      <c r="F11" s="72">
        <f t="shared" si="0"/>
        <v>0</v>
      </c>
    </row>
    <row r="12" spans="1:6" ht="15">
      <c r="A12" s="66">
        <v>7</v>
      </c>
      <c r="B12" s="67" t="s">
        <v>59</v>
      </c>
      <c r="C12" s="68" t="s">
        <v>41</v>
      </c>
      <c r="D12" s="123"/>
      <c r="E12" s="69">
        <v>153.658573755316</v>
      </c>
      <c r="F12" s="70">
        <f t="shared" si="0"/>
        <v>0</v>
      </c>
    </row>
    <row r="13" spans="1:6" ht="15">
      <c r="A13" s="66">
        <v>8</v>
      </c>
      <c r="B13" s="67" t="s">
        <v>60</v>
      </c>
      <c r="C13" s="68" t="s">
        <v>41</v>
      </c>
      <c r="D13" s="123"/>
      <c r="E13" s="69">
        <v>164.6034337749665</v>
      </c>
      <c r="F13" s="70">
        <f t="shared" si="0"/>
        <v>0</v>
      </c>
    </row>
    <row r="14" spans="1:6" ht="15">
      <c r="A14" s="66">
        <v>9</v>
      </c>
      <c r="B14" s="67" t="s">
        <v>186</v>
      </c>
      <c r="C14" s="68" t="s">
        <v>41</v>
      </c>
      <c r="D14" s="123"/>
      <c r="E14" s="69">
        <v>173.50396203558938</v>
      </c>
      <c r="F14" s="70">
        <f t="shared" si="0"/>
        <v>0</v>
      </c>
    </row>
    <row r="15" spans="1:6" ht="15">
      <c r="A15" s="58">
        <v>10</v>
      </c>
      <c r="B15" s="71" t="s">
        <v>61</v>
      </c>
      <c r="C15" s="59" t="s">
        <v>41</v>
      </c>
      <c r="D15" s="123"/>
      <c r="E15" s="60">
        <v>180.4823677805274</v>
      </c>
      <c r="F15" s="72">
        <f t="shared" si="0"/>
        <v>0</v>
      </c>
    </row>
    <row r="16" spans="1:6" ht="15">
      <c r="A16" s="58">
        <v>11</v>
      </c>
      <c r="B16" s="71" t="s">
        <v>62</v>
      </c>
      <c r="C16" s="59" t="s">
        <v>41</v>
      </c>
      <c r="D16" s="123"/>
      <c r="E16" s="60">
        <v>191.45238767061528</v>
      </c>
      <c r="F16" s="72">
        <f t="shared" si="0"/>
        <v>0</v>
      </c>
    </row>
    <row r="17" spans="1:6" ht="15">
      <c r="A17" s="58">
        <v>12</v>
      </c>
      <c r="B17" s="71" t="s">
        <v>187</v>
      </c>
      <c r="C17" s="59" t="s">
        <v>41</v>
      </c>
      <c r="D17" s="123"/>
      <c r="E17" s="60">
        <v>201.3410900103749</v>
      </c>
      <c r="F17" s="72">
        <f t="shared" si="0"/>
        <v>0</v>
      </c>
    </row>
    <row r="18" spans="1:6" ht="15">
      <c r="A18" s="66">
        <v>13</v>
      </c>
      <c r="B18" s="67" t="s">
        <v>63</v>
      </c>
      <c r="C18" s="68" t="s">
        <v>41</v>
      </c>
      <c r="D18" s="123"/>
      <c r="E18" s="69">
        <v>211.98872463528005</v>
      </c>
      <c r="F18" s="70">
        <f t="shared" si="0"/>
        <v>0</v>
      </c>
    </row>
    <row r="19" spans="1:6" ht="15">
      <c r="A19" s="66">
        <v>14</v>
      </c>
      <c r="B19" s="67" t="s">
        <v>64</v>
      </c>
      <c r="C19" s="68" t="s">
        <v>41</v>
      </c>
      <c r="D19" s="123"/>
      <c r="E19" s="69">
        <v>222.68075400474447</v>
      </c>
      <c r="F19" s="70">
        <f t="shared" si="0"/>
        <v>0</v>
      </c>
    </row>
    <row r="20" spans="1:6" ht="15">
      <c r="A20" s="66">
        <v>15</v>
      </c>
      <c r="B20" s="67" t="s">
        <v>188</v>
      </c>
      <c r="C20" s="68" t="s">
        <v>41</v>
      </c>
      <c r="D20" s="123"/>
      <c r="E20" s="69">
        <v>233.64443123351055</v>
      </c>
      <c r="F20" s="70">
        <f t="shared" si="0"/>
        <v>0</v>
      </c>
    </row>
    <row r="21" spans="1:6" ht="15">
      <c r="A21" s="58">
        <v>16</v>
      </c>
      <c r="B21" s="71" t="s">
        <v>65</v>
      </c>
      <c r="C21" s="59" t="s">
        <v>41</v>
      </c>
      <c r="D21" s="123"/>
      <c r="E21" s="60">
        <v>248.995067635306</v>
      </c>
      <c r="F21" s="72">
        <f t="shared" si="0"/>
        <v>0</v>
      </c>
    </row>
    <row r="22" spans="1:6" ht="15">
      <c r="A22" s="58">
        <v>17</v>
      </c>
      <c r="B22" s="71" t="s">
        <v>66</v>
      </c>
      <c r="C22" s="59" t="s">
        <v>41</v>
      </c>
      <c r="D22" s="123"/>
      <c r="E22" s="60">
        <v>259.0028717188584</v>
      </c>
      <c r="F22" s="72">
        <f t="shared" si="0"/>
        <v>0</v>
      </c>
    </row>
    <row r="23" spans="1:6" ht="15">
      <c r="A23" s="58">
        <v>18</v>
      </c>
      <c r="B23" s="71" t="s">
        <v>189</v>
      </c>
      <c r="C23" s="59" t="s">
        <v>41</v>
      </c>
      <c r="D23" s="123"/>
      <c r="E23" s="60">
        <v>271.1305488791069</v>
      </c>
      <c r="F23" s="72">
        <f t="shared" si="0"/>
        <v>0</v>
      </c>
    </row>
    <row r="24" spans="1:6" s="8" customFormat="1" ht="15">
      <c r="A24" s="172">
        <v>19</v>
      </c>
      <c r="B24" s="173" t="s">
        <v>97</v>
      </c>
      <c r="C24" s="174" t="s">
        <v>41</v>
      </c>
      <c r="D24" s="170"/>
      <c r="E24" s="175">
        <v>40</v>
      </c>
      <c r="F24" s="176">
        <f t="shared" si="0"/>
        <v>0</v>
      </c>
    </row>
    <row r="25" spans="1:6" s="8" customFormat="1" ht="15">
      <c r="A25" s="172">
        <v>20</v>
      </c>
      <c r="B25" s="276" t="s">
        <v>205</v>
      </c>
      <c r="C25" s="277" t="s">
        <v>101</v>
      </c>
      <c r="D25" s="281">
        <v>1</v>
      </c>
      <c r="E25" s="280">
        <v>0</v>
      </c>
      <c r="F25" s="176">
        <f>E25</f>
        <v>0</v>
      </c>
    </row>
    <row r="26" spans="1:6" ht="15">
      <c r="A26" s="290" t="s">
        <v>191</v>
      </c>
      <c r="B26" s="291"/>
      <c r="C26" s="291"/>
      <c r="D26" s="292"/>
      <c r="E26" s="293"/>
      <c r="F26" s="160">
        <f>ROUND(SUM(F6:F25),-3)</f>
        <v>0</v>
      </c>
    </row>
    <row r="27" spans="1:6" s="8" customFormat="1" ht="15">
      <c r="A27" s="178">
        <f>A25+1</f>
        <v>21</v>
      </c>
      <c r="B27" s="161" t="s">
        <v>102</v>
      </c>
      <c r="C27" s="162" t="s">
        <v>101</v>
      </c>
      <c r="D27" s="163">
        <v>0.05</v>
      </c>
      <c r="E27" s="164">
        <f>$F$26*D27</f>
        <v>0</v>
      </c>
      <c r="F27" s="179">
        <f>E27</f>
        <v>0</v>
      </c>
    </row>
    <row r="28" spans="1:6" s="8" customFormat="1" ht="15">
      <c r="A28" s="180">
        <f>A27+1</f>
        <v>22</v>
      </c>
      <c r="B28" s="165" t="s">
        <v>103</v>
      </c>
      <c r="C28" s="136" t="s">
        <v>101</v>
      </c>
      <c r="D28" s="166">
        <v>0.03</v>
      </c>
      <c r="E28" s="137">
        <f>$F$26*D28</f>
        <v>0</v>
      </c>
      <c r="F28" s="138">
        <f>E28</f>
        <v>0</v>
      </c>
    </row>
    <row r="29" spans="1:6" s="8" customFormat="1" ht="15.75" thickBot="1">
      <c r="A29" s="181">
        <f>A28+1</f>
        <v>23</v>
      </c>
      <c r="B29" s="167" t="s">
        <v>104</v>
      </c>
      <c r="C29" s="143" t="s">
        <v>101</v>
      </c>
      <c r="D29" s="168">
        <v>0.02</v>
      </c>
      <c r="E29" s="144">
        <f>$F$26*D29</f>
        <v>0</v>
      </c>
      <c r="F29" s="182">
        <f>E29</f>
        <v>0</v>
      </c>
    </row>
    <row r="30" spans="1:6" s="8" customFormat="1" ht="16.5" thickBot="1" thickTop="1">
      <c r="A30" s="294" t="s">
        <v>192</v>
      </c>
      <c r="B30" s="295"/>
      <c r="C30" s="295"/>
      <c r="D30" s="295"/>
      <c r="E30" s="296"/>
      <c r="F30" s="217">
        <f>ROUND(SUM(F26:F29),-3)</f>
        <v>0</v>
      </c>
    </row>
    <row r="31" spans="1:6" s="8" customFormat="1" ht="15">
      <c r="A31" s="199" t="s">
        <v>125</v>
      </c>
      <c r="B31" s="171"/>
      <c r="C31" s="171"/>
      <c r="D31" s="171"/>
      <c r="E31" s="171"/>
      <c r="F31" s="177"/>
    </row>
    <row r="32" spans="1:6" s="8" customFormat="1" ht="15">
      <c r="A32" s="200">
        <v>1</v>
      </c>
      <c r="B32" s="274" t="s">
        <v>126</v>
      </c>
      <c r="C32" s="274"/>
      <c r="D32" s="274"/>
      <c r="E32" s="274"/>
      <c r="F32" s="274"/>
    </row>
    <row r="33" spans="1:6" s="8" customFormat="1" ht="15">
      <c r="A33" s="200">
        <v>2</v>
      </c>
      <c r="B33" s="274" t="s">
        <v>193</v>
      </c>
      <c r="C33" s="274"/>
      <c r="D33" s="274"/>
      <c r="E33" s="274"/>
      <c r="F33" s="274"/>
    </row>
    <row r="34" spans="1:6" ht="15">
      <c r="A34" s="8"/>
      <c r="B34" s="8"/>
      <c r="C34" s="8"/>
      <c r="D34" s="8"/>
      <c r="E34" s="8"/>
      <c r="F34" s="8"/>
    </row>
    <row r="56" s="8" customFormat="1" ht="15"/>
  </sheetData>
  <sheetProtection selectLockedCells="1"/>
  <mergeCells count="5">
    <mergeCell ref="A1:F1"/>
    <mergeCell ref="A4:F4"/>
    <mergeCell ref="A26:E26"/>
    <mergeCell ref="A30:E30"/>
    <mergeCell ref="A2:F2"/>
  </mergeCells>
  <printOptions/>
  <pageMargins left="0.7" right="0.7" top="0.75" bottom="0.75" header="0.3" footer="0.3"/>
  <pageSetup horizontalDpi="600" verticalDpi="600" orientation="landscape" scale="91" r:id="rId1"/>
  <headerFooter>
    <oddHeader>&amp;C&amp;"-,Bold Italic"Appendix A - 20-Year Life Cylce Cost Summary Worksheets</oddHeader>
    <oddFooter>&amp;CPage &amp;P of &amp;N</oddFooter>
  </headerFooter>
  <rowBreaks count="1" manualBreakCount="1">
    <brk id="33" max="5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4"/>
  <sheetViews>
    <sheetView zoomScaleSheetLayoutView="100" zoomScalePageLayoutView="0" workbookViewId="0" topLeftCell="A1">
      <selection activeCell="A28" sqref="A28:E28"/>
    </sheetView>
  </sheetViews>
  <sheetFormatPr defaultColWidth="9.140625" defaultRowHeight="15"/>
  <cols>
    <col min="1" max="1" width="10.140625" style="0" customWidth="1"/>
    <col min="2" max="2" width="76.28125" style="0" customWidth="1"/>
    <col min="4" max="4" width="11.140625" style="0" bestFit="1" customWidth="1"/>
    <col min="5" max="5" width="14.00390625" style="0" bestFit="1" customWidth="1"/>
    <col min="6" max="6" width="14.28125" style="0" bestFit="1" customWidth="1"/>
  </cols>
  <sheetData>
    <row r="1" spans="1:6" s="8" customFormat="1" ht="15.75">
      <c r="A1" s="284" t="s">
        <v>194</v>
      </c>
      <c r="B1" s="284"/>
      <c r="C1" s="284"/>
      <c r="D1" s="284"/>
      <c r="E1" s="284"/>
      <c r="F1" s="284"/>
    </row>
    <row r="2" spans="1:6" s="8" customFormat="1" ht="15">
      <c r="A2" s="289" t="s">
        <v>176</v>
      </c>
      <c r="B2" s="289"/>
      <c r="C2" s="289"/>
      <c r="D2" s="289"/>
      <c r="E2" s="289"/>
      <c r="F2" s="289"/>
    </row>
    <row r="3" spans="1:34" ht="15">
      <c r="A3" s="8"/>
      <c r="B3" s="8"/>
      <c r="C3" s="8"/>
      <c r="D3" s="8"/>
      <c r="E3" s="8"/>
      <c r="F3" s="8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</row>
    <row r="4" spans="1:34" s="8" customFormat="1" ht="15.75" thickBot="1">
      <c r="A4" s="297" t="s">
        <v>195</v>
      </c>
      <c r="B4" s="297"/>
      <c r="C4" s="297"/>
      <c r="D4" s="297"/>
      <c r="E4" s="297"/>
      <c r="F4" s="297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</row>
    <row r="5" spans="1:34" s="8" customFormat="1" ht="15.75" thickBot="1">
      <c r="A5" s="126" t="s">
        <v>47</v>
      </c>
      <c r="B5" s="127" t="s">
        <v>0</v>
      </c>
      <c r="C5" s="127" t="s">
        <v>42</v>
      </c>
      <c r="D5" s="127" t="s">
        <v>48</v>
      </c>
      <c r="E5" s="127" t="s">
        <v>1</v>
      </c>
      <c r="F5" s="128" t="s">
        <v>2</v>
      </c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</row>
    <row r="6" spans="1:34" s="8" customFormat="1" ht="15.75" thickTop="1">
      <c r="A6" s="146">
        <v>1</v>
      </c>
      <c r="B6" s="147" t="s">
        <v>55</v>
      </c>
      <c r="C6" s="148" t="s">
        <v>41</v>
      </c>
      <c r="D6" s="122"/>
      <c r="E6" s="149">
        <v>111.37836377448754</v>
      </c>
      <c r="F6" s="150">
        <f aca="true" t="shared" si="0" ref="F6:F23">E6*D6</f>
        <v>0</v>
      </c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</row>
    <row r="7" spans="1:34" s="8" customFormat="1" ht="15">
      <c r="A7" s="151">
        <f>A6+1</f>
        <v>2</v>
      </c>
      <c r="B7" s="152" t="s">
        <v>56</v>
      </c>
      <c r="C7" s="153" t="s">
        <v>41</v>
      </c>
      <c r="D7" s="123"/>
      <c r="E7" s="154">
        <v>121.67324711830508</v>
      </c>
      <c r="F7" s="155">
        <f t="shared" si="0"/>
        <v>0</v>
      </c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</row>
    <row r="8" spans="1:34" s="8" customFormat="1" ht="15">
      <c r="A8" s="151">
        <f>A7+1</f>
        <v>3</v>
      </c>
      <c r="B8" s="152" t="s">
        <v>184</v>
      </c>
      <c r="C8" s="153" t="s">
        <v>41</v>
      </c>
      <c r="D8" s="123"/>
      <c r="E8" s="154">
        <v>128.84375066470503</v>
      </c>
      <c r="F8" s="155">
        <f t="shared" si="0"/>
        <v>0</v>
      </c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</row>
    <row r="9" spans="1:34" s="8" customFormat="1" ht="15">
      <c r="A9" s="134">
        <v>4</v>
      </c>
      <c r="B9" s="156" t="s">
        <v>57</v>
      </c>
      <c r="C9" s="136" t="s">
        <v>41</v>
      </c>
      <c r="D9" s="123"/>
      <c r="E9" s="137">
        <v>130.8214069821469</v>
      </c>
      <c r="F9" s="138">
        <f t="shared" si="0"/>
        <v>0</v>
      </c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</row>
    <row r="10" spans="1:34" s="8" customFormat="1" ht="15">
      <c r="A10" s="134">
        <v>5</v>
      </c>
      <c r="B10" s="156" t="s">
        <v>58</v>
      </c>
      <c r="C10" s="136" t="s">
        <v>41</v>
      </c>
      <c r="D10" s="123"/>
      <c r="E10" s="137">
        <v>141.51973104208142</v>
      </c>
      <c r="F10" s="138">
        <f t="shared" si="0"/>
        <v>0</v>
      </c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</row>
    <row r="11" spans="1:34" s="8" customFormat="1" ht="15">
      <c r="A11" s="134">
        <v>6</v>
      </c>
      <c r="B11" s="156" t="s">
        <v>185</v>
      </c>
      <c r="C11" s="136" t="s">
        <v>41</v>
      </c>
      <c r="D11" s="123"/>
      <c r="E11" s="137">
        <v>149.51555512337814</v>
      </c>
      <c r="F11" s="138">
        <f t="shared" si="0"/>
        <v>0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</row>
    <row r="12" spans="1:34" s="8" customFormat="1" ht="15">
      <c r="A12" s="151">
        <v>7</v>
      </c>
      <c r="B12" s="152" t="s">
        <v>59</v>
      </c>
      <c r="C12" s="153" t="s">
        <v>41</v>
      </c>
      <c r="D12" s="123"/>
      <c r="E12" s="154">
        <v>153.658573755316</v>
      </c>
      <c r="F12" s="155">
        <f t="shared" si="0"/>
        <v>0</v>
      </c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</row>
    <row r="13" spans="1:34" s="8" customFormat="1" ht="15">
      <c r="A13" s="151">
        <v>8</v>
      </c>
      <c r="B13" s="152" t="s">
        <v>60</v>
      </c>
      <c r="C13" s="153" t="s">
        <v>41</v>
      </c>
      <c r="D13" s="123"/>
      <c r="E13" s="154">
        <v>164.6034337749665</v>
      </c>
      <c r="F13" s="155">
        <f t="shared" si="0"/>
        <v>0</v>
      </c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</row>
    <row r="14" spans="1:34" s="8" customFormat="1" ht="15">
      <c r="A14" s="151">
        <v>9</v>
      </c>
      <c r="B14" s="152" t="s">
        <v>186</v>
      </c>
      <c r="C14" s="153" t="s">
        <v>41</v>
      </c>
      <c r="D14" s="123"/>
      <c r="E14" s="154">
        <v>173.50396203558938</v>
      </c>
      <c r="F14" s="155">
        <f t="shared" si="0"/>
        <v>0</v>
      </c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</row>
    <row r="15" spans="1:34" s="8" customFormat="1" ht="15">
      <c r="A15" s="134">
        <v>10</v>
      </c>
      <c r="B15" s="156" t="s">
        <v>61</v>
      </c>
      <c r="C15" s="136" t="s">
        <v>41</v>
      </c>
      <c r="D15" s="123"/>
      <c r="E15" s="137">
        <v>180.4823677805274</v>
      </c>
      <c r="F15" s="138">
        <f t="shared" si="0"/>
        <v>0</v>
      </c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</row>
    <row r="16" spans="1:34" s="8" customFormat="1" ht="15">
      <c r="A16" s="134">
        <v>11</v>
      </c>
      <c r="B16" s="156" t="s">
        <v>62</v>
      </c>
      <c r="C16" s="136" t="s">
        <v>41</v>
      </c>
      <c r="D16" s="123"/>
      <c r="E16" s="137">
        <v>191.45238767061528</v>
      </c>
      <c r="F16" s="138">
        <f t="shared" si="0"/>
        <v>0</v>
      </c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</row>
    <row r="17" spans="1:34" s="8" customFormat="1" ht="15">
      <c r="A17" s="134">
        <v>12</v>
      </c>
      <c r="B17" s="156" t="s">
        <v>187</v>
      </c>
      <c r="C17" s="136" t="s">
        <v>41</v>
      </c>
      <c r="D17" s="123"/>
      <c r="E17" s="137">
        <v>201.3410900103749</v>
      </c>
      <c r="F17" s="138">
        <f t="shared" si="0"/>
        <v>0</v>
      </c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</row>
    <row r="18" spans="1:34" s="8" customFormat="1" ht="15">
      <c r="A18" s="151">
        <v>13</v>
      </c>
      <c r="B18" s="152" t="s">
        <v>63</v>
      </c>
      <c r="C18" s="153" t="s">
        <v>41</v>
      </c>
      <c r="D18" s="123"/>
      <c r="E18" s="154">
        <v>211.98872463528005</v>
      </c>
      <c r="F18" s="155">
        <f t="shared" si="0"/>
        <v>0</v>
      </c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</row>
    <row r="19" spans="1:34" s="8" customFormat="1" ht="15">
      <c r="A19" s="151">
        <v>14</v>
      </c>
      <c r="B19" s="152" t="s">
        <v>64</v>
      </c>
      <c r="C19" s="153" t="s">
        <v>41</v>
      </c>
      <c r="D19" s="123"/>
      <c r="E19" s="154">
        <v>222.68075400474447</v>
      </c>
      <c r="F19" s="155">
        <f t="shared" si="0"/>
        <v>0</v>
      </c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</row>
    <row r="20" spans="1:34" s="8" customFormat="1" ht="15">
      <c r="A20" s="151">
        <v>15</v>
      </c>
      <c r="B20" s="152" t="s">
        <v>188</v>
      </c>
      <c r="C20" s="153" t="s">
        <v>41</v>
      </c>
      <c r="D20" s="123"/>
      <c r="E20" s="154">
        <v>233.64443123351055</v>
      </c>
      <c r="F20" s="155">
        <f t="shared" si="0"/>
        <v>0</v>
      </c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</row>
    <row r="21" spans="1:34" s="8" customFormat="1" ht="15">
      <c r="A21" s="134">
        <v>16</v>
      </c>
      <c r="B21" s="156" t="s">
        <v>65</v>
      </c>
      <c r="C21" s="136" t="s">
        <v>41</v>
      </c>
      <c r="D21" s="123"/>
      <c r="E21" s="137">
        <v>248.995067635306</v>
      </c>
      <c r="F21" s="138">
        <f t="shared" si="0"/>
        <v>0</v>
      </c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</row>
    <row r="22" spans="1:34" s="8" customFormat="1" ht="15">
      <c r="A22" s="134">
        <v>17</v>
      </c>
      <c r="B22" s="156" t="s">
        <v>66</v>
      </c>
      <c r="C22" s="136" t="s">
        <v>41</v>
      </c>
      <c r="D22" s="123"/>
      <c r="E22" s="137">
        <v>259.0028717188584</v>
      </c>
      <c r="F22" s="138">
        <f t="shared" si="0"/>
        <v>0</v>
      </c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</row>
    <row r="23" spans="1:34" s="8" customFormat="1" ht="15">
      <c r="A23" s="139">
        <v>18</v>
      </c>
      <c r="B23" s="169" t="s">
        <v>189</v>
      </c>
      <c r="C23" s="141" t="s">
        <v>41</v>
      </c>
      <c r="D23" s="170"/>
      <c r="E23" s="142">
        <v>271.1305488791069</v>
      </c>
      <c r="F23" s="159">
        <f t="shared" si="0"/>
        <v>0</v>
      </c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</row>
    <row r="24" spans="1:34" s="8" customFormat="1" ht="15">
      <c r="A24" s="290" t="s">
        <v>197</v>
      </c>
      <c r="B24" s="291"/>
      <c r="C24" s="291"/>
      <c r="D24" s="292"/>
      <c r="E24" s="293"/>
      <c r="F24" s="160">
        <f>ROUND(SUM(F6:F23),-3)</f>
        <v>0</v>
      </c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</row>
    <row r="25" spans="1:34" s="8" customFormat="1" ht="15">
      <c r="A25" s="178">
        <f>A23+1</f>
        <v>19</v>
      </c>
      <c r="B25" s="161" t="s">
        <v>102</v>
      </c>
      <c r="C25" s="162" t="s">
        <v>101</v>
      </c>
      <c r="D25" s="163">
        <v>0.05</v>
      </c>
      <c r="E25" s="164">
        <f>$F$24*D25</f>
        <v>0</v>
      </c>
      <c r="F25" s="179">
        <f>E25</f>
        <v>0</v>
      </c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</row>
    <row r="26" spans="1:34" s="8" customFormat="1" ht="15">
      <c r="A26" s="180">
        <f>A25+1</f>
        <v>20</v>
      </c>
      <c r="B26" s="165" t="s">
        <v>103</v>
      </c>
      <c r="C26" s="136" t="s">
        <v>101</v>
      </c>
      <c r="D26" s="166">
        <v>0.03</v>
      </c>
      <c r="E26" s="137">
        <f>$F$24*D26</f>
        <v>0</v>
      </c>
      <c r="F26" s="138">
        <f>E26</f>
        <v>0</v>
      </c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</row>
    <row r="27" spans="1:34" s="8" customFormat="1" ht="15.75" thickBot="1">
      <c r="A27" s="181">
        <f>A26+1</f>
        <v>21</v>
      </c>
      <c r="B27" s="167" t="s">
        <v>104</v>
      </c>
      <c r="C27" s="143" t="s">
        <v>101</v>
      </c>
      <c r="D27" s="168">
        <v>0.02</v>
      </c>
      <c r="E27" s="144">
        <f>$F$24*D27</f>
        <v>0</v>
      </c>
      <c r="F27" s="182">
        <f>E27</f>
        <v>0</v>
      </c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</row>
    <row r="28" spans="1:34" s="8" customFormat="1" ht="16.5" thickBot="1" thickTop="1">
      <c r="A28" s="298" t="s">
        <v>198</v>
      </c>
      <c r="B28" s="299"/>
      <c r="C28" s="299"/>
      <c r="D28" s="300"/>
      <c r="E28" s="301"/>
      <c r="F28" s="217">
        <f>ROUND(SUM(F24:F27),-3)</f>
        <v>0</v>
      </c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</row>
    <row r="29" spans="1:34" s="8" customFormat="1" ht="15">
      <c r="A29" s="199" t="s">
        <v>125</v>
      </c>
      <c r="B29" s="171"/>
      <c r="C29" s="171"/>
      <c r="D29" s="171"/>
      <c r="E29" s="171"/>
      <c r="F29" s="177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</row>
    <row r="30" spans="1:34" s="8" customFormat="1" ht="15">
      <c r="A30" s="200">
        <v>1</v>
      </c>
      <c r="B30" s="241" t="s">
        <v>126</v>
      </c>
      <c r="C30" s="201"/>
      <c r="D30" s="201"/>
      <c r="E30" s="201"/>
      <c r="F30" s="201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</row>
    <row r="31" spans="1:34" s="8" customFormat="1" ht="15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</row>
    <row r="32" spans="1:34" s="8" customFormat="1" ht="15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</row>
    <row r="33" spans="1:34" s="8" customFormat="1" ht="1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</row>
    <row r="34" spans="1:34" s="8" customFormat="1" ht="15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</row>
    <row r="35" spans="1:34" s="8" customFormat="1" ht="15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</row>
    <row r="36" spans="1:34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</row>
    <row r="37" spans="1:34" ht="15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</row>
    <row r="38" spans="1:34" ht="15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</row>
    <row r="39" spans="1:34" ht="15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</row>
    <row r="40" spans="1:34" ht="15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</row>
    <row r="41" spans="1:34" ht="15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</row>
    <row r="42" spans="1:34" ht="15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</row>
    <row r="43" spans="1:34" ht="15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</row>
    <row r="44" spans="1:34" ht="15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</row>
    <row r="45" spans="1:34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</row>
    <row r="46" spans="1:34" ht="15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</row>
    <row r="47" spans="1:34" ht="15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</row>
    <row r="48" spans="1:34" ht="15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</row>
    <row r="49" spans="1:34" ht="15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</row>
    <row r="50" spans="1:34" ht="15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</row>
    <row r="51" spans="1:34" ht="15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</row>
    <row r="52" spans="1:34" ht="15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</row>
    <row r="53" spans="1:6" ht="15">
      <c r="A53" s="125"/>
      <c r="B53" s="125"/>
      <c r="C53" s="125"/>
      <c r="D53" s="125"/>
      <c r="E53" s="125"/>
      <c r="F53" s="125"/>
    </row>
    <row r="54" spans="1:6" ht="15">
      <c r="A54" s="125"/>
      <c r="B54" s="125"/>
      <c r="C54" s="125"/>
      <c r="D54" s="125"/>
      <c r="E54" s="125"/>
      <c r="F54" s="125"/>
    </row>
  </sheetData>
  <sheetProtection selectLockedCells="1"/>
  <mergeCells count="5">
    <mergeCell ref="A4:F4"/>
    <mergeCell ref="A24:E24"/>
    <mergeCell ref="A28:E28"/>
    <mergeCell ref="A1:F1"/>
    <mergeCell ref="A2:F2"/>
  </mergeCells>
  <printOptions/>
  <pageMargins left="0.7" right="0.7" top="0.75" bottom="0.75" header="0.3" footer="0.3"/>
  <pageSetup fitToHeight="1" fitToWidth="1" horizontalDpi="600" verticalDpi="600" orientation="landscape" scale="93" r:id="rId1"/>
  <headerFooter>
    <oddHeader>&amp;C&amp;"-,Bold Italic"Appendix A - 20-Year Life Cylce Cost Summary Worksheets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I22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3.8515625" style="0" customWidth="1"/>
    <col min="2" max="2" width="14.57421875" style="1" customWidth="1"/>
    <col min="3" max="3" width="10.00390625" style="1" bestFit="1" customWidth="1"/>
    <col min="5" max="5" width="9.28125" style="0" bestFit="1" customWidth="1"/>
    <col min="6" max="6" width="15.8515625" style="1" bestFit="1" customWidth="1"/>
    <col min="7" max="7" width="20.28125" style="0" bestFit="1" customWidth="1"/>
  </cols>
  <sheetData>
    <row r="1" spans="1:8" ht="15.75">
      <c r="A1" s="319" t="s">
        <v>124</v>
      </c>
      <c r="B1" s="319"/>
      <c r="C1" s="319"/>
      <c r="D1" s="319"/>
      <c r="E1" s="319"/>
      <c r="F1" s="319"/>
      <c r="H1" s="1"/>
    </row>
    <row r="2" spans="1:6" s="8" customFormat="1" ht="15">
      <c r="A2" s="289" t="s">
        <v>177</v>
      </c>
      <c r="B2" s="289"/>
      <c r="C2" s="289"/>
      <c r="D2" s="289"/>
      <c r="E2" s="289"/>
      <c r="F2" s="289"/>
    </row>
    <row r="3" spans="1:6" ht="15" customHeight="1" thickBot="1">
      <c r="A3" s="318"/>
      <c r="B3" s="318"/>
      <c r="C3" s="318"/>
      <c r="D3" s="210"/>
      <c r="E3" s="210"/>
      <c r="F3" s="210"/>
    </row>
    <row r="4" spans="1:3" ht="15">
      <c r="A4" s="320" t="s">
        <v>22</v>
      </c>
      <c r="B4" s="321"/>
      <c r="C4" s="47">
        <f>'20 Year Life Cycle Cost'!$B$4</f>
        <v>0</v>
      </c>
    </row>
    <row r="5" spans="1:3" ht="15">
      <c r="A5" s="314" t="s">
        <v>18</v>
      </c>
      <c r="B5" s="315"/>
      <c r="C5" s="49">
        <f>'20 Year Life Cycle Cost'!$B$10</f>
        <v>0.0294</v>
      </c>
    </row>
    <row r="6" spans="1:6" s="8" customFormat="1" ht="15.75" thickBot="1">
      <c r="A6" s="316" t="s">
        <v>70</v>
      </c>
      <c r="B6" s="317"/>
      <c r="C6" s="50">
        <f>'20 Year Life Cycle Cost'!$B$11</f>
        <v>0.0223</v>
      </c>
      <c r="D6"/>
      <c r="E6"/>
      <c r="F6" s="1"/>
    </row>
    <row r="7" spans="1:5" ht="15">
      <c r="A7" s="18"/>
      <c r="B7" s="18"/>
      <c r="C7" s="19"/>
      <c r="D7" s="8"/>
      <c r="E7" s="8"/>
    </row>
    <row r="8" spans="1:6" s="8" customFormat="1" ht="15.75" thickBot="1">
      <c r="A8" s="287" t="s">
        <v>29</v>
      </c>
      <c r="B8" s="287"/>
      <c r="C8" s="287"/>
      <c r="D8" s="287"/>
      <c r="E8" s="287"/>
      <c r="F8" s="287"/>
    </row>
    <row r="9" spans="1:6" s="8" customFormat="1" ht="15.75" thickBot="1">
      <c r="A9" s="302" t="s">
        <v>12</v>
      </c>
      <c r="B9" s="303"/>
      <c r="C9" s="81" t="s">
        <v>13</v>
      </c>
      <c r="D9" s="81" t="s">
        <v>4</v>
      </c>
      <c r="E9" s="81" t="s">
        <v>5</v>
      </c>
      <c r="F9" s="82" t="s">
        <v>14</v>
      </c>
    </row>
    <row r="10" spans="1:6" s="8" customFormat="1" ht="16.5" thickBot="1" thickTop="1">
      <c r="A10" s="312" t="s">
        <v>98</v>
      </c>
      <c r="B10" s="313"/>
      <c r="C10" s="77">
        <f>SUM(Oversizing!$D$6:$D$23)+SUM('Gravity Option - Construction'!D6:D23)</f>
        <v>0</v>
      </c>
      <c r="D10" s="78" t="s">
        <v>3</v>
      </c>
      <c r="E10" s="79">
        <v>2.5</v>
      </c>
      <c r="F10" s="80">
        <f>E10*C10</f>
        <v>0</v>
      </c>
    </row>
    <row r="11" spans="1:6" s="8" customFormat="1" ht="15">
      <c r="A11" s="106"/>
      <c r="B11" s="106"/>
      <c r="C11" s="106"/>
      <c r="D11" s="106"/>
      <c r="E11" s="106"/>
      <c r="F11" s="106"/>
    </row>
    <row r="12" spans="1:9" ht="15.75" thickBot="1">
      <c r="A12" s="311" t="s">
        <v>81</v>
      </c>
      <c r="B12" s="311"/>
      <c r="C12" s="311"/>
      <c r="D12" s="311"/>
      <c r="E12" s="311"/>
      <c r="F12" s="311"/>
      <c r="G12" s="9"/>
      <c r="I12" s="1"/>
    </row>
    <row r="13" spans="1:9" ht="35.25" thickBot="1">
      <c r="A13" s="73" t="s">
        <v>31</v>
      </c>
      <c r="B13" s="74" t="s">
        <v>23</v>
      </c>
      <c r="C13" s="304" t="s">
        <v>15</v>
      </c>
      <c r="D13" s="305"/>
      <c r="E13" s="75" t="s">
        <v>30</v>
      </c>
      <c r="F13" s="76" t="s">
        <v>10</v>
      </c>
      <c r="G13" s="107"/>
      <c r="H13" s="108"/>
      <c r="I13" s="1"/>
    </row>
    <row r="14" spans="1:9" ht="15.75" thickTop="1">
      <c r="A14" s="83">
        <v>10</v>
      </c>
      <c r="B14" s="84">
        <f>(1+$C$5)^(A14)</f>
        <v>1.3361082300706104</v>
      </c>
      <c r="C14" s="306">
        <f>$F$10*B14</f>
        <v>0</v>
      </c>
      <c r="D14" s="306"/>
      <c r="E14" s="84">
        <f>1/(1+$C$6)^(A14)</f>
        <v>0.8020776079272014</v>
      </c>
      <c r="F14" s="85">
        <f>C14*E14</f>
        <v>0</v>
      </c>
      <c r="G14" s="107"/>
      <c r="H14" s="108"/>
      <c r="I14" s="1"/>
    </row>
    <row r="15" spans="1:9" ht="15">
      <c r="A15" s="86">
        <v>20</v>
      </c>
      <c r="B15" s="87">
        <f>(1+$C$5)^(A15)</f>
        <v>1.7851852024624193</v>
      </c>
      <c r="C15" s="308">
        <f>$F$10*B15</f>
        <v>0</v>
      </c>
      <c r="D15" s="308"/>
      <c r="E15" s="87">
        <f>1/(1+$C$6)^(A15)</f>
        <v>0.6433284891382214</v>
      </c>
      <c r="F15" s="88">
        <f>C15*E15</f>
        <v>0</v>
      </c>
      <c r="G15" s="107"/>
      <c r="H15" s="108"/>
      <c r="I15" s="1"/>
    </row>
    <row r="16" spans="1:6" s="8" customFormat="1" ht="15.75" thickBot="1">
      <c r="A16" s="309" t="s">
        <v>67</v>
      </c>
      <c r="B16" s="310"/>
      <c r="C16" s="310"/>
      <c r="D16" s="310"/>
      <c r="E16" s="310"/>
      <c r="F16" s="232">
        <f>ROUND(SUM(F14:F15),-3)</f>
        <v>0</v>
      </c>
    </row>
    <row r="17" spans="1:6" ht="15">
      <c r="A17" s="17"/>
      <c r="B17" s="17"/>
      <c r="C17" s="17"/>
      <c r="D17" s="17"/>
      <c r="E17" s="17"/>
      <c r="F17" s="10"/>
    </row>
    <row r="18" ht="15">
      <c r="A18" t="s">
        <v>16</v>
      </c>
    </row>
    <row r="19" ht="15">
      <c r="A19" t="s">
        <v>17</v>
      </c>
    </row>
    <row r="20" spans="1:6" s="8" customFormat="1" ht="15">
      <c r="A20" s="307" t="s">
        <v>39</v>
      </c>
      <c r="B20" s="307"/>
      <c r="C20" s="307"/>
      <c r="D20" s="307"/>
      <c r="E20" s="307"/>
      <c r="F20" s="307"/>
    </row>
    <row r="21" spans="1:6" ht="15">
      <c r="A21" s="307"/>
      <c r="B21" s="307"/>
      <c r="C21" s="307"/>
      <c r="D21" s="307"/>
      <c r="E21" s="307"/>
      <c r="F21" s="307"/>
    </row>
    <row r="22" ht="15">
      <c r="A22" s="8" t="s">
        <v>82</v>
      </c>
    </row>
  </sheetData>
  <sheetProtection selectLockedCells="1" selectUnlockedCells="1"/>
  <mergeCells count="15">
    <mergeCell ref="A5:B5"/>
    <mergeCell ref="A6:B6"/>
    <mergeCell ref="A8:F8"/>
    <mergeCell ref="A3:C3"/>
    <mergeCell ref="A1:F1"/>
    <mergeCell ref="A4:B4"/>
    <mergeCell ref="A2:F2"/>
    <mergeCell ref="A9:B9"/>
    <mergeCell ref="C13:D13"/>
    <mergeCell ref="C14:D14"/>
    <mergeCell ref="A20:F21"/>
    <mergeCell ref="C15:D15"/>
    <mergeCell ref="A16:E16"/>
    <mergeCell ref="A12:F12"/>
    <mergeCell ref="A10:B10"/>
  </mergeCells>
  <printOptions/>
  <pageMargins left="0.7" right="0.7" top="0.75" bottom="0.75" header="0.3" footer="0.3"/>
  <pageSetup horizontalDpi="600" verticalDpi="600" orientation="portrait" r:id="rId1"/>
  <headerFooter>
    <oddHeader>&amp;C&amp;"-,Bold Italic"Appendix A - 20-Year Life Cylce Cost Summary Worksheets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32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10.140625" style="0" customWidth="1"/>
    <col min="2" max="2" width="76.28125" style="0" customWidth="1"/>
    <col min="4" max="4" width="11.28125" style="0" customWidth="1"/>
    <col min="5" max="5" width="14.140625" style="0" customWidth="1"/>
    <col min="6" max="6" width="16.28125" style="0" customWidth="1"/>
  </cols>
  <sheetData>
    <row r="1" spans="1:6" ht="15.75">
      <c r="A1" s="284" t="s">
        <v>199</v>
      </c>
      <c r="B1" s="284"/>
      <c r="C1" s="284"/>
      <c r="D1" s="284"/>
      <c r="E1" s="284"/>
      <c r="F1" s="284"/>
    </row>
    <row r="2" spans="1:6" ht="15">
      <c r="A2" s="289" t="s">
        <v>176</v>
      </c>
      <c r="B2" s="289"/>
      <c r="C2" s="289"/>
      <c r="D2" s="289"/>
      <c r="E2" s="289"/>
      <c r="F2" s="289"/>
    </row>
    <row r="3" spans="1:6" s="8" customFormat="1" ht="15">
      <c r="A3" s="231"/>
      <c r="B3" s="231"/>
      <c r="C3" s="231"/>
      <c r="D3" s="231"/>
      <c r="E3" s="231"/>
      <c r="F3" s="231"/>
    </row>
    <row r="4" spans="1:6" ht="15.75" thickBot="1">
      <c r="A4" s="286" t="s">
        <v>200</v>
      </c>
      <c r="B4" s="286"/>
      <c r="C4" s="286"/>
      <c r="D4" s="286"/>
      <c r="E4" s="286"/>
      <c r="F4" s="286"/>
    </row>
    <row r="5" spans="1:6" ht="15.75" thickBot="1">
      <c r="A5" s="25" t="s">
        <v>47</v>
      </c>
      <c r="B5" s="26" t="s">
        <v>0</v>
      </c>
      <c r="C5" s="26" t="s">
        <v>42</v>
      </c>
      <c r="D5" s="26" t="s">
        <v>48</v>
      </c>
      <c r="E5" s="26" t="s">
        <v>1</v>
      </c>
      <c r="F5" s="27" t="s">
        <v>2</v>
      </c>
    </row>
    <row r="6" spans="1:6" ht="15.75" thickTop="1">
      <c r="A6" s="62">
        <v>1</v>
      </c>
      <c r="B6" s="63" t="s">
        <v>55</v>
      </c>
      <c r="C6" s="64" t="s">
        <v>41</v>
      </c>
      <c r="D6" s="123"/>
      <c r="E6" s="250">
        <v>111.37836377448754</v>
      </c>
      <c r="F6" s="65">
        <f aca="true" t="shared" si="0" ref="F6:F24">E6*D6</f>
        <v>0</v>
      </c>
    </row>
    <row r="7" spans="1:6" ht="15">
      <c r="A7" s="66">
        <f>A6+1</f>
        <v>2</v>
      </c>
      <c r="B7" s="67" t="s">
        <v>56</v>
      </c>
      <c r="C7" s="68" t="s">
        <v>41</v>
      </c>
      <c r="D7" s="123"/>
      <c r="E7" s="251">
        <v>121.67324711830508</v>
      </c>
      <c r="F7" s="70">
        <f t="shared" si="0"/>
        <v>0</v>
      </c>
    </row>
    <row r="8" spans="1:6" ht="15">
      <c r="A8" s="66">
        <f>A7+1</f>
        <v>3</v>
      </c>
      <c r="B8" s="67" t="s">
        <v>184</v>
      </c>
      <c r="C8" s="68" t="s">
        <v>41</v>
      </c>
      <c r="D8" s="123"/>
      <c r="E8" s="251">
        <v>128.84375066470503</v>
      </c>
      <c r="F8" s="70">
        <f t="shared" si="0"/>
        <v>0</v>
      </c>
    </row>
    <row r="9" spans="1:6" ht="15">
      <c r="A9" s="58">
        <v>4</v>
      </c>
      <c r="B9" s="71" t="s">
        <v>57</v>
      </c>
      <c r="C9" s="59" t="s">
        <v>41</v>
      </c>
      <c r="D9" s="123"/>
      <c r="E9" s="252">
        <v>130.8214069821469</v>
      </c>
      <c r="F9" s="72">
        <f t="shared" si="0"/>
        <v>0</v>
      </c>
    </row>
    <row r="10" spans="1:6" ht="15">
      <c r="A10" s="58">
        <v>5</v>
      </c>
      <c r="B10" s="71" t="s">
        <v>58</v>
      </c>
      <c r="C10" s="59" t="s">
        <v>41</v>
      </c>
      <c r="D10" s="123"/>
      <c r="E10" s="252">
        <v>141.51973104208142</v>
      </c>
      <c r="F10" s="72">
        <f t="shared" si="0"/>
        <v>0</v>
      </c>
    </row>
    <row r="11" spans="1:6" ht="15">
      <c r="A11" s="58">
        <v>6</v>
      </c>
      <c r="B11" s="71" t="s">
        <v>185</v>
      </c>
      <c r="C11" s="59" t="s">
        <v>41</v>
      </c>
      <c r="D11" s="123"/>
      <c r="E11" s="252">
        <v>149.51555512337814</v>
      </c>
      <c r="F11" s="72">
        <f t="shared" si="0"/>
        <v>0</v>
      </c>
    </row>
    <row r="12" spans="1:6" ht="15">
      <c r="A12" s="66">
        <v>7</v>
      </c>
      <c r="B12" s="67" t="s">
        <v>59</v>
      </c>
      <c r="C12" s="68" t="s">
        <v>41</v>
      </c>
      <c r="D12" s="123"/>
      <c r="E12" s="251">
        <v>153.658573755316</v>
      </c>
      <c r="F12" s="70">
        <f t="shared" si="0"/>
        <v>0</v>
      </c>
    </row>
    <row r="13" spans="1:6" ht="15">
      <c r="A13" s="66">
        <v>8</v>
      </c>
      <c r="B13" s="67" t="s">
        <v>60</v>
      </c>
      <c r="C13" s="68" t="s">
        <v>41</v>
      </c>
      <c r="D13" s="123"/>
      <c r="E13" s="251">
        <v>164.6034337749665</v>
      </c>
      <c r="F13" s="70">
        <f t="shared" si="0"/>
        <v>0</v>
      </c>
    </row>
    <row r="14" spans="1:6" ht="15">
      <c r="A14" s="66">
        <v>9</v>
      </c>
      <c r="B14" s="67" t="s">
        <v>186</v>
      </c>
      <c r="C14" s="68" t="s">
        <v>41</v>
      </c>
      <c r="D14" s="123"/>
      <c r="E14" s="251">
        <v>173.50396203558938</v>
      </c>
      <c r="F14" s="70">
        <f t="shared" si="0"/>
        <v>0</v>
      </c>
    </row>
    <row r="15" spans="1:6" ht="15">
      <c r="A15" s="58">
        <v>10</v>
      </c>
      <c r="B15" s="71" t="s">
        <v>61</v>
      </c>
      <c r="C15" s="59" t="s">
        <v>41</v>
      </c>
      <c r="D15" s="123"/>
      <c r="E15" s="252">
        <v>180.4823677805274</v>
      </c>
      <c r="F15" s="72">
        <f t="shared" si="0"/>
        <v>0</v>
      </c>
    </row>
    <row r="16" spans="1:6" ht="15">
      <c r="A16" s="58">
        <v>11</v>
      </c>
      <c r="B16" s="71" t="s">
        <v>62</v>
      </c>
      <c r="C16" s="59" t="s">
        <v>41</v>
      </c>
      <c r="D16" s="123"/>
      <c r="E16" s="252">
        <v>191.45238767061528</v>
      </c>
      <c r="F16" s="72">
        <f t="shared" si="0"/>
        <v>0</v>
      </c>
    </row>
    <row r="17" spans="1:6" ht="15">
      <c r="A17" s="58">
        <v>12</v>
      </c>
      <c r="B17" s="71" t="s">
        <v>187</v>
      </c>
      <c r="C17" s="59" t="s">
        <v>41</v>
      </c>
      <c r="D17" s="123"/>
      <c r="E17" s="252">
        <v>201.3410900103749</v>
      </c>
      <c r="F17" s="72">
        <f t="shared" si="0"/>
        <v>0</v>
      </c>
    </row>
    <row r="18" spans="1:6" ht="15">
      <c r="A18" s="66">
        <v>13</v>
      </c>
      <c r="B18" s="67" t="s">
        <v>63</v>
      </c>
      <c r="C18" s="68" t="s">
        <v>41</v>
      </c>
      <c r="D18" s="123"/>
      <c r="E18" s="251">
        <v>211.98872463528005</v>
      </c>
      <c r="F18" s="70">
        <f t="shared" si="0"/>
        <v>0</v>
      </c>
    </row>
    <row r="19" spans="1:6" ht="15">
      <c r="A19" s="66">
        <v>14</v>
      </c>
      <c r="B19" s="67" t="s">
        <v>64</v>
      </c>
      <c r="C19" s="68" t="s">
        <v>41</v>
      </c>
      <c r="D19" s="123"/>
      <c r="E19" s="251">
        <v>222.68075400474447</v>
      </c>
      <c r="F19" s="70">
        <f t="shared" si="0"/>
        <v>0</v>
      </c>
    </row>
    <row r="20" spans="1:6" ht="15">
      <c r="A20" s="66">
        <v>15</v>
      </c>
      <c r="B20" s="67" t="s">
        <v>188</v>
      </c>
      <c r="C20" s="68" t="s">
        <v>41</v>
      </c>
      <c r="D20" s="123"/>
      <c r="E20" s="251">
        <v>233.64443123351055</v>
      </c>
      <c r="F20" s="70">
        <f t="shared" si="0"/>
        <v>0</v>
      </c>
    </row>
    <row r="21" spans="1:6" ht="15">
      <c r="A21" s="58">
        <v>16</v>
      </c>
      <c r="B21" s="71" t="s">
        <v>65</v>
      </c>
      <c r="C21" s="59" t="s">
        <v>41</v>
      </c>
      <c r="D21" s="123"/>
      <c r="E21" s="252">
        <v>248.995067635306</v>
      </c>
      <c r="F21" s="72">
        <f t="shared" si="0"/>
        <v>0</v>
      </c>
    </row>
    <row r="22" spans="1:6" ht="15">
      <c r="A22" s="58">
        <v>17</v>
      </c>
      <c r="B22" s="71" t="s">
        <v>66</v>
      </c>
      <c r="C22" s="59" t="s">
        <v>41</v>
      </c>
      <c r="D22" s="123"/>
      <c r="E22" s="252">
        <v>259.0028717188584</v>
      </c>
      <c r="F22" s="72">
        <f t="shared" si="0"/>
        <v>0</v>
      </c>
    </row>
    <row r="23" spans="1:6" ht="15">
      <c r="A23" s="58">
        <v>18</v>
      </c>
      <c r="B23" s="71" t="s">
        <v>189</v>
      </c>
      <c r="C23" s="59" t="s">
        <v>41</v>
      </c>
      <c r="D23" s="123"/>
      <c r="E23" s="252">
        <v>271.1305488791069</v>
      </c>
      <c r="F23" s="72">
        <f t="shared" si="0"/>
        <v>0</v>
      </c>
    </row>
    <row r="24" spans="1:6" ht="15">
      <c r="A24" s="172">
        <v>19</v>
      </c>
      <c r="B24" s="276" t="s">
        <v>97</v>
      </c>
      <c r="C24" s="277" t="s">
        <v>54</v>
      </c>
      <c r="D24" s="275"/>
      <c r="E24" s="278">
        <v>750</v>
      </c>
      <c r="F24" s="176">
        <f t="shared" si="0"/>
        <v>0</v>
      </c>
    </row>
    <row r="25" spans="1:6" s="8" customFormat="1" ht="15">
      <c r="A25" s="172">
        <v>20</v>
      </c>
      <c r="B25" s="276" t="s">
        <v>205</v>
      </c>
      <c r="C25" s="277" t="s">
        <v>101</v>
      </c>
      <c r="D25" s="281">
        <v>1</v>
      </c>
      <c r="E25" s="280">
        <v>0</v>
      </c>
      <c r="F25" s="176">
        <f>E25</f>
        <v>0</v>
      </c>
    </row>
    <row r="26" spans="1:6" ht="15">
      <c r="A26" s="290" t="s">
        <v>201</v>
      </c>
      <c r="B26" s="291"/>
      <c r="C26" s="291"/>
      <c r="D26" s="292"/>
      <c r="E26" s="293"/>
      <c r="F26" s="160">
        <f>ROUND(SUM(F6:F25),-3)</f>
        <v>0</v>
      </c>
    </row>
    <row r="27" spans="1:6" ht="15">
      <c r="A27" s="178">
        <f>A25+1</f>
        <v>21</v>
      </c>
      <c r="B27" s="161" t="s">
        <v>102</v>
      </c>
      <c r="C27" s="162" t="s">
        <v>101</v>
      </c>
      <c r="D27" s="163">
        <v>0.05</v>
      </c>
      <c r="E27" s="164">
        <f>$F$26*D27</f>
        <v>0</v>
      </c>
      <c r="F27" s="179">
        <f>E27</f>
        <v>0</v>
      </c>
    </row>
    <row r="28" spans="1:6" ht="15">
      <c r="A28" s="180">
        <f>A27+1</f>
        <v>22</v>
      </c>
      <c r="B28" s="165" t="s">
        <v>103</v>
      </c>
      <c r="C28" s="136" t="s">
        <v>101</v>
      </c>
      <c r="D28" s="166">
        <v>0.03</v>
      </c>
      <c r="E28" s="137">
        <f>$F$26*D28</f>
        <v>0</v>
      </c>
      <c r="F28" s="138">
        <f>E28</f>
        <v>0</v>
      </c>
    </row>
    <row r="29" spans="1:6" ht="15.75" thickBot="1">
      <c r="A29" s="181">
        <f>A28+1</f>
        <v>23</v>
      </c>
      <c r="B29" s="167" t="s">
        <v>104</v>
      </c>
      <c r="C29" s="143" t="s">
        <v>101</v>
      </c>
      <c r="D29" s="168">
        <v>0.02</v>
      </c>
      <c r="E29" s="144">
        <f>$F$26*D29</f>
        <v>0</v>
      </c>
      <c r="F29" s="182">
        <f>E29</f>
        <v>0</v>
      </c>
    </row>
    <row r="30" spans="1:6" ht="16.5" thickBot="1" thickTop="1">
      <c r="A30" s="294" t="s">
        <v>202</v>
      </c>
      <c r="B30" s="295"/>
      <c r="C30" s="295"/>
      <c r="D30" s="295"/>
      <c r="E30" s="296"/>
      <c r="F30" s="234">
        <f>ROUND(SUM(F26:F29),-3)</f>
        <v>0</v>
      </c>
    </row>
    <row r="31" spans="1:6" ht="15">
      <c r="A31" s="199" t="s">
        <v>125</v>
      </c>
      <c r="B31" s="171"/>
      <c r="C31" s="171"/>
      <c r="D31" s="171"/>
      <c r="E31" s="171"/>
      <c r="F31" s="177"/>
    </row>
    <row r="32" spans="1:6" ht="15">
      <c r="A32" s="200">
        <v>1</v>
      </c>
      <c r="B32" s="241" t="s">
        <v>126</v>
      </c>
      <c r="C32" s="201"/>
      <c r="D32" s="201"/>
      <c r="E32" s="201"/>
      <c r="F32" s="201"/>
    </row>
  </sheetData>
  <sheetProtection/>
  <mergeCells count="5">
    <mergeCell ref="A1:F1"/>
    <mergeCell ref="A30:E30"/>
    <mergeCell ref="A26:E26"/>
    <mergeCell ref="A4:F4"/>
    <mergeCell ref="A2:F2"/>
  </mergeCells>
  <printOptions/>
  <pageMargins left="0.7" right="0.7" top="0.75" bottom="0.75" header="0.3" footer="0.3"/>
  <pageSetup horizontalDpi="600" verticalDpi="600" orientation="landscape" paperSize="9" scale="91" r:id="rId1"/>
  <headerFooter>
    <oddHeader>&amp;C&amp;"-,Bold Italic"Appendix A - 20-Year Life Cylce Cost Summary Worksheets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H68"/>
  <sheetViews>
    <sheetView zoomScaleSheetLayoutView="130" zoomScalePageLayoutView="0" workbookViewId="0" topLeftCell="A1">
      <selection activeCell="E6" sqref="E6:E11"/>
    </sheetView>
  </sheetViews>
  <sheetFormatPr defaultColWidth="9.140625" defaultRowHeight="15"/>
  <cols>
    <col min="1" max="1" width="10.57421875" style="0" bestFit="1" customWidth="1"/>
    <col min="2" max="2" width="39.7109375" style="1" customWidth="1"/>
    <col min="4" max="4" width="11.421875" style="0" bestFit="1" customWidth="1"/>
    <col min="5" max="5" width="15.28125" style="0" customWidth="1"/>
    <col min="6" max="6" width="14.8515625" style="0" bestFit="1" customWidth="1"/>
    <col min="7" max="7" width="10.00390625" style="0" bestFit="1" customWidth="1"/>
    <col min="8" max="8" width="13.00390625" style="0" customWidth="1"/>
    <col min="9" max="9" width="10.00390625" style="0" bestFit="1" customWidth="1"/>
  </cols>
  <sheetData>
    <row r="1" spans="1:6" s="8" customFormat="1" ht="15.75">
      <c r="A1" s="284" t="s">
        <v>204</v>
      </c>
      <c r="B1" s="284"/>
      <c r="C1" s="284"/>
      <c r="D1" s="284"/>
      <c r="E1" s="284"/>
      <c r="F1" s="284"/>
    </row>
    <row r="2" spans="1:6" s="8" customFormat="1" ht="15">
      <c r="A2" s="289" t="s">
        <v>176</v>
      </c>
      <c r="B2" s="289"/>
      <c r="C2" s="289"/>
      <c r="D2" s="289"/>
      <c r="E2" s="289"/>
      <c r="F2" s="289"/>
    </row>
    <row r="3" spans="2:34" s="8" customFormat="1" ht="15">
      <c r="B3" s="28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</row>
    <row r="4" spans="1:34" ht="15.75" thickBot="1">
      <c r="A4" s="322" t="s">
        <v>203</v>
      </c>
      <c r="B4" s="322"/>
      <c r="C4" s="322"/>
      <c r="D4" s="322"/>
      <c r="E4" s="322"/>
      <c r="F4" s="322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</row>
    <row r="5" spans="1:34" ht="15.75" thickBot="1">
      <c r="A5" s="126" t="s">
        <v>47</v>
      </c>
      <c r="B5" s="127" t="s">
        <v>0</v>
      </c>
      <c r="C5" s="127" t="s">
        <v>42</v>
      </c>
      <c r="D5" s="127" t="s">
        <v>48</v>
      </c>
      <c r="E5" s="127" t="s">
        <v>1</v>
      </c>
      <c r="F5" s="128" t="s">
        <v>2</v>
      </c>
      <c r="G5" s="133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</row>
    <row r="6" spans="1:34" ht="15.75" thickTop="1">
      <c r="A6" s="129">
        <v>1</v>
      </c>
      <c r="B6" s="130" t="s">
        <v>49</v>
      </c>
      <c r="C6" s="131" t="s">
        <v>41</v>
      </c>
      <c r="D6" s="122"/>
      <c r="E6" s="279">
        <v>43</v>
      </c>
      <c r="F6" s="132">
        <f aca="true" t="shared" si="0" ref="F6:F11">E6*D6</f>
        <v>0</v>
      </c>
      <c r="G6" s="133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</row>
    <row r="7" spans="1:34" ht="15">
      <c r="A7" s="134">
        <f>A6+1</f>
        <v>2</v>
      </c>
      <c r="B7" s="135" t="s">
        <v>50</v>
      </c>
      <c r="C7" s="136" t="s">
        <v>41</v>
      </c>
      <c r="D7" s="123"/>
      <c r="E7" s="137">
        <v>48</v>
      </c>
      <c r="F7" s="138">
        <f t="shared" si="0"/>
        <v>0</v>
      </c>
      <c r="G7" s="133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</row>
    <row r="8" spans="1:34" ht="15">
      <c r="A8" s="134">
        <f>A7+1</f>
        <v>3</v>
      </c>
      <c r="B8" s="135" t="s">
        <v>51</v>
      </c>
      <c r="C8" s="136" t="s">
        <v>41</v>
      </c>
      <c r="D8" s="123"/>
      <c r="E8" s="137">
        <v>51</v>
      </c>
      <c r="F8" s="138">
        <f t="shared" si="0"/>
        <v>0</v>
      </c>
      <c r="G8" s="133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</row>
    <row r="9" spans="1:34" s="8" customFormat="1" ht="15">
      <c r="A9" s="134">
        <f>A8+1</f>
        <v>4</v>
      </c>
      <c r="B9" s="135" t="s">
        <v>52</v>
      </c>
      <c r="C9" s="136" t="s">
        <v>41</v>
      </c>
      <c r="D9" s="123"/>
      <c r="E9" s="137">
        <v>65</v>
      </c>
      <c r="F9" s="138">
        <f t="shared" si="0"/>
        <v>0</v>
      </c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</row>
    <row r="10" spans="1:34" ht="15">
      <c r="A10" s="139">
        <f>A9+1</f>
        <v>5</v>
      </c>
      <c r="B10" s="140" t="s">
        <v>93</v>
      </c>
      <c r="C10" s="141" t="s">
        <v>101</v>
      </c>
      <c r="D10" s="124">
        <v>1</v>
      </c>
      <c r="E10" s="142">
        <f>IF('20 Year Life Cycle Cost'!B6=1,0,10000)</f>
        <v>10000</v>
      </c>
      <c r="F10" s="138">
        <f t="shared" si="0"/>
        <v>10000</v>
      </c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</row>
    <row r="11" spans="1:34" s="8" customFormat="1" ht="15">
      <c r="A11" s="139">
        <f>A10+1</f>
        <v>6</v>
      </c>
      <c r="B11" s="140" t="s">
        <v>53</v>
      </c>
      <c r="C11" s="141" t="s">
        <v>101</v>
      </c>
      <c r="D11" s="185">
        <v>1</v>
      </c>
      <c r="E11" s="142">
        <v>160000</v>
      </c>
      <c r="F11" s="138">
        <f t="shared" si="0"/>
        <v>160000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</row>
    <row r="12" spans="1:34" ht="15">
      <c r="A12" s="290" t="s">
        <v>106</v>
      </c>
      <c r="B12" s="291"/>
      <c r="C12" s="291"/>
      <c r="D12" s="292"/>
      <c r="E12" s="293"/>
      <c r="F12" s="160">
        <f>ROUND(SUM(F6:F11),-3)</f>
        <v>170000</v>
      </c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</row>
    <row r="13" spans="1:34" ht="15">
      <c r="A13" s="178">
        <f>A11+1</f>
        <v>7</v>
      </c>
      <c r="B13" s="161" t="s">
        <v>102</v>
      </c>
      <c r="C13" s="162" t="s">
        <v>101</v>
      </c>
      <c r="D13" s="163">
        <v>0.05</v>
      </c>
      <c r="E13" s="164">
        <f>$F$12*D13</f>
        <v>8500</v>
      </c>
      <c r="F13" s="179">
        <f>E13</f>
        <v>8500</v>
      </c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</row>
    <row r="14" spans="1:34" ht="15">
      <c r="A14" s="180">
        <f>A13+1</f>
        <v>8</v>
      </c>
      <c r="B14" s="165" t="s">
        <v>103</v>
      </c>
      <c r="C14" s="136" t="s">
        <v>101</v>
      </c>
      <c r="D14" s="166">
        <v>0.03</v>
      </c>
      <c r="E14" s="137">
        <f>$F$12*D14</f>
        <v>5100</v>
      </c>
      <c r="F14" s="138">
        <f>E14</f>
        <v>5100</v>
      </c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</row>
    <row r="15" spans="1:34" ht="15.75" thickBot="1">
      <c r="A15" s="181">
        <f>A14+1</f>
        <v>9</v>
      </c>
      <c r="B15" s="167" t="s">
        <v>104</v>
      </c>
      <c r="C15" s="143" t="s">
        <v>101</v>
      </c>
      <c r="D15" s="168">
        <v>0.02</v>
      </c>
      <c r="E15" s="144">
        <f>$F$12*D15</f>
        <v>3400</v>
      </c>
      <c r="F15" s="182">
        <f>E15</f>
        <v>3400</v>
      </c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</row>
    <row r="16" spans="1:34" ht="16.5" thickBot="1" thickTop="1">
      <c r="A16" s="298" t="s">
        <v>105</v>
      </c>
      <c r="B16" s="299"/>
      <c r="C16" s="299"/>
      <c r="D16" s="300"/>
      <c r="E16" s="301"/>
      <c r="F16" s="235">
        <f>ROUND(SUM(F12:F15),-3)</f>
        <v>187000</v>
      </c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</row>
    <row r="17" spans="1:34" ht="15">
      <c r="A17" s="199" t="s">
        <v>125</v>
      </c>
      <c r="B17" s="171"/>
      <c r="C17" s="171"/>
      <c r="D17" s="171"/>
      <c r="E17" s="171"/>
      <c r="F17" s="177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</row>
    <row r="18" spans="1:34" ht="15">
      <c r="A18" s="200">
        <v>1</v>
      </c>
      <c r="B18" s="201" t="s">
        <v>128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</row>
    <row r="19" spans="1:34" ht="15">
      <c r="A19" s="125"/>
      <c r="B19" s="14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</row>
    <row r="20" spans="1:34" ht="15">
      <c r="A20" s="125"/>
      <c r="B20" s="14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</row>
    <row r="21" spans="1:34" ht="15">
      <c r="A21" s="125"/>
      <c r="B21" s="14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</row>
    <row r="22" spans="1:34" s="8" customFormat="1" ht="15">
      <c r="A22" s="125"/>
      <c r="B22" s="14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</row>
    <row r="23" spans="1:34" s="8" customFormat="1" ht="15">
      <c r="A23" s="125"/>
      <c r="B23" s="14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</row>
    <row r="24" spans="1:34" s="8" customFormat="1" ht="15">
      <c r="A24" s="125"/>
      <c r="B24" s="14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</row>
    <row r="25" spans="1:34" s="8" customFormat="1" ht="15">
      <c r="A25" s="125"/>
      <c r="B25" s="14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</row>
    <row r="26" spans="1:34" s="8" customFormat="1" ht="15">
      <c r="A26" s="125"/>
      <c r="B26" s="14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</row>
    <row r="27" spans="1:34" s="8" customFormat="1" ht="15">
      <c r="A27" s="125"/>
      <c r="B27" s="14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</row>
    <row r="28" spans="1:34" s="8" customFormat="1" ht="15">
      <c r="A28" s="125"/>
      <c r="B28" s="14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</row>
    <row r="29" spans="1:34" s="8" customFormat="1" ht="15">
      <c r="A29" s="125"/>
      <c r="B29" s="14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</row>
    <row r="30" spans="1:34" s="8" customFormat="1" ht="15">
      <c r="A30" s="125"/>
      <c r="B30" s="14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</row>
    <row r="31" spans="1:34" s="8" customFormat="1" ht="15">
      <c r="A31" s="125"/>
      <c r="B31" s="14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</row>
    <row r="32" spans="1:34" s="8" customFormat="1" ht="15">
      <c r="A32" s="125"/>
      <c r="B32" s="14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</row>
    <row r="33" spans="1:34" s="8" customFormat="1" ht="15">
      <c r="A33" s="125"/>
      <c r="B33" s="14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</row>
    <row r="34" spans="1:34" s="8" customFormat="1" ht="15">
      <c r="A34" s="125"/>
      <c r="B34" s="14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</row>
    <row r="35" spans="1:34" s="8" customFormat="1" ht="15">
      <c r="A35" s="125"/>
      <c r="B35" s="14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</row>
    <row r="36" spans="1:34" s="8" customFormat="1" ht="15">
      <c r="A36" s="125"/>
      <c r="B36" s="14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</row>
    <row r="37" spans="1:34" s="8" customFormat="1" ht="15">
      <c r="A37" s="125"/>
      <c r="B37" s="14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</row>
    <row r="38" spans="1:34" s="8" customFormat="1" ht="15">
      <c r="A38" s="125"/>
      <c r="B38" s="14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</row>
    <row r="39" spans="1:34" s="8" customFormat="1" ht="15">
      <c r="A39" s="125"/>
      <c r="B39" s="14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</row>
    <row r="40" spans="1:34" s="8" customFormat="1" ht="15">
      <c r="A40" s="125"/>
      <c r="B40" s="14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</row>
    <row r="41" spans="1:34" s="8" customFormat="1" ht="15">
      <c r="A41" s="125"/>
      <c r="B41" s="14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</row>
    <row r="42" spans="1:34" s="8" customFormat="1" ht="15">
      <c r="A42" s="125"/>
      <c r="B42" s="14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</row>
    <row r="43" spans="1:34" s="8" customFormat="1" ht="15">
      <c r="A43" s="125"/>
      <c r="B43" s="14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</row>
    <row r="44" spans="1:34" s="8" customFormat="1" ht="15">
      <c r="A44" s="125"/>
      <c r="B44" s="14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</row>
    <row r="45" spans="1:34" s="8" customFormat="1" ht="15">
      <c r="A45" s="125"/>
      <c r="B45" s="14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</row>
    <row r="46" spans="1:34" s="8" customFormat="1" ht="15">
      <c r="A46" s="125"/>
      <c r="B46" s="14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</row>
    <row r="47" spans="1:34" s="8" customFormat="1" ht="15">
      <c r="A47" s="125"/>
      <c r="B47" s="14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</row>
    <row r="48" spans="1:34" s="8" customFormat="1" ht="15">
      <c r="A48" s="125"/>
      <c r="B48" s="14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</row>
    <row r="49" spans="1:6" s="8" customFormat="1" ht="15">
      <c r="A49" s="125"/>
      <c r="B49" s="145"/>
      <c r="C49" s="125"/>
      <c r="D49" s="125"/>
      <c r="E49" s="125"/>
      <c r="F49" s="125"/>
    </row>
    <row r="50" spans="1:6" ht="15">
      <c r="A50" s="8"/>
      <c r="B50" s="8"/>
      <c r="C50" s="8"/>
      <c r="D50" s="8"/>
      <c r="E50" s="8"/>
      <c r="F50" s="8"/>
    </row>
    <row r="60" ht="15">
      <c r="G60" s="8"/>
    </row>
    <row r="61" ht="15">
      <c r="G61" s="8"/>
    </row>
    <row r="62" ht="15">
      <c r="G62" s="8"/>
    </row>
    <row r="63" ht="15">
      <c r="G63" s="8"/>
    </row>
    <row r="64" ht="15">
      <c r="G64" s="8"/>
    </row>
    <row r="65" ht="15">
      <c r="G65" s="8"/>
    </row>
    <row r="66" ht="10.5" customHeight="1">
      <c r="G66" s="8"/>
    </row>
    <row r="67" ht="15">
      <c r="G67" s="8"/>
    </row>
    <row r="68" ht="15">
      <c r="G68" s="8"/>
    </row>
  </sheetData>
  <sheetProtection selectLockedCells="1"/>
  <mergeCells count="5">
    <mergeCell ref="A16:E16"/>
    <mergeCell ref="A12:E12"/>
    <mergeCell ref="A4:F4"/>
    <mergeCell ref="A1:F1"/>
    <mergeCell ref="A2:F2"/>
  </mergeCells>
  <printOptions/>
  <pageMargins left="0.7" right="0.7" top="0.75" bottom="0.75" header="0.3" footer="0.3"/>
  <pageSetup horizontalDpi="600" verticalDpi="600" orientation="landscape" r:id="rId1"/>
  <headerFooter>
    <oddHeader>&amp;C&amp;"-,Bold Italic"Appendix A - 20-Year Life Cylce Cost Summary Worksheets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W65"/>
  <sheetViews>
    <sheetView zoomScaleSheetLayoutView="100" zoomScalePageLayoutView="0" workbookViewId="0" topLeftCell="A1">
      <selection activeCell="E25" sqref="E25"/>
    </sheetView>
  </sheetViews>
  <sheetFormatPr defaultColWidth="9.140625" defaultRowHeight="15"/>
  <cols>
    <col min="1" max="1" width="13.28125" style="0" customWidth="1"/>
    <col min="2" max="2" width="14.28125" style="0" customWidth="1"/>
    <col min="3" max="3" width="11.00390625" style="0" customWidth="1"/>
    <col min="4" max="4" width="11.28125" style="0" customWidth="1"/>
    <col min="5" max="5" width="15.57421875" style="0" bestFit="1" customWidth="1"/>
    <col min="6" max="7" width="14.28125" style="0" bestFit="1" customWidth="1"/>
  </cols>
  <sheetData>
    <row r="1" spans="1:153" s="8" customFormat="1" ht="15.75">
      <c r="A1" s="284" t="s">
        <v>178</v>
      </c>
      <c r="B1" s="284"/>
      <c r="C1" s="284"/>
      <c r="D1" s="284"/>
      <c r="E1" s="284"/>
      <c r="F1" s="284"/>
      <c r="G1" s="284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</row>
    <row r="2" spans="1:7" ht="15">
      <c r="A2" s="289" t="s">
        <v>177</v>
      </c>
      <c r="B2" s="289"/>
      <c r="C2" s="289"/>
      <c r="D2" s="289"/>
      <c r="E2" s="289"/>
      <c r="F2" s="289"/>
      <c r="G2" s="289"/>
    </row>
    <row r="3" spans="1:6" s="8" customFormat="1" ht="15">
      <c r="A3" s="231"/>
      <c r="B3" s="231"/>
      <c r="C3" s="231"/>
      <c r="D3" s="231"/>
      <c r="E3" s="231"/>
      <c r="F3" s="231"/>
    </row>
    <row r="4" spans="1:5" ht="15.75" thickBot="1">
      <c r="A4" s="352" t="s">
        <v>40</v>
      </c>
      <c r="B4" s="352"/>
      <c r="C4" s="352"/>
      <c r="D4" s="352"/>
      <c r="E4" s="352"/>
    </row>
    <row r="5" spans="1:7" ht="15" customHeight="1">
      <c r="A5" s="335" t="s">
        <v>24</v>
      </c>
      <c r="B5" s="341"/>
      <c r="C5" s="341"/>
      <c r="D5" s="341"/>
      <c r="E5" s="47">
        <f>'20 Year Life Cycle Cost'!$B$5</f>
        <v>0</v>
      </c>
      <c r="F5" s="3"/>
      <c r="G5" s="3"/>
    </row>
    <row r="6" spans="1:7" ht="15" customHeight="1">
      <c r="A6" s="324" t="s">
        <v>7</v>
      </c>
      <c r="B6" s="346"/>
      <c r="C6" s="346"/>
      <c r="D6" s="346"/>
      <c r="E6" s="48">
        <f>'20 Year Life Cycle Cost'!$B$4</f>
        <v>0</v>
      </c>
      <c r="F6" s="3"/>
      <c r="G6" s="3"/>
    </row>
    <row r="7" spans="1:7" ht="15" customHeight="1">
      <c r="A7" s="324" t="s">
        <v>8</v>
      </c>
      <c r="B7" s="346"/>
      <c r="C7" s="346"/>
      <c r="D7" s="346"/>
      <c r="E7" s="48">
        <f>'20 Year Life Cycle Cost'!$B$7</f>
        <v>20</v>
      </c>
      <c r="F7" s="3"/>
      <c r="G7" s="3"/>
    </row>
    <row r="8" spans="1:7" ht="29.25" customHeight="1">
      <c r="A8" s="324" t="s">
        <v>20</v>
      </c>
      <c r="B8" s="346"/>
      <c r="C8" s="346"/>
      <c r="D8" s="346"/>
      <c r="E8" s="49">
        <f>'20 Year Life Cycle Cost'!$B$9</f>
        <v>0.043</v>
      </c>
      <c r="F8" s="3"/>
      <c r="G8" s="3"/>
    </row>
    <row r="9" spans="1:7" ht="30" customHeight="1">
      <c r="A9" s="324" t="s">
        <v>71</v>
      </c>
      <c r="B9" s="346"/>
      <c r="C9" s="346"/>
      <c r="D9" s="346"/>
      <c r="E9" s="49">
        <f>'20 Year Life Cycle Cost'!$B$10</f>
        <v>0.0294</v>
      </c>
      <c r="F9" s="3"/>
      <c r="G9" s="3"/>
    </row>
    <row r="10" spans="1:153" s="7" customFormat="1" ht="15.75" thickBot="1">
      <c r="A10" s="337" t="s">
        <v>70</v>
      </c>
      <c r="B10" s="338"/>
      <c r="C10" s="338"/>
      <c r="D10" s="338"/>
      <c r="E10" s="50">
        <f>'20 Year Life Cycle Cost'!$B$11</f>
        <v>0.0223</v>
      </c>
      <c r="F10" s="3"/>
      <c r="G10" s="3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</row>
    <row r="11" spans="1:153" s="51" customFormat="1" ht="15">
      <c r="A11" s="7"/>
      <c r="B11" s="7"/>
      <c r="C11" s="7"/>
      <c r="D11" s="7"/>
      <c r="E11" s="30"/>
      <c r="F11" s="31"/>
      <c r="G11" s="31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</row>
    <row r="12" spans="1:153" s="7" customFormat="1" ht="15">
      <c r="A12" s="51"/>
      <c r="B12" s="51"/>
      <c r="C12" s="51"/>
      <c r="D12" s="51"/>
      <c r="E12" s="54"/>
      <c r="F12" s="52"/>
      <c r="G12" s="5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</row>
    <row r="13" spans="1:153" s="8" customFormat="1" ht="15">
      <c r="A13" s="339" t="s">
        <v>131</v>
      </c>
      <c r="B13" s="339"/>
      <c r="C13" s="339"/>
      <c r="D13" s="339"/>
      <c r="E13" s="339"/>
      <c r="F13" s="339"/>
      <c r="G13" s="339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</row>
    <row r="14" spans="1:7" ht="15" customHeight="1" thickBot="1">
      <c r="A14" s="34"/>
      <c r="B14" s="34"/>
      <c r="C14" s="34"/>
      <c r="D14" s="34"/>
      <c r="E14" s="34"/>
      <c r="F14" s="6"/>
      <c r="G14" s="8"/>
    </row>
    <row r="15" spans="1:153" s="8" customFormat="1" ht="15" customHeight="1">
      <c r="A15" s="335" t="s">
        <v>19</v>
      </c>
      <c r="B15" s="341"/>
      <c r="C15" s="341"/>
      <c r="D15" s="341"/>
      <c r="E15" s="37">
        <f>52.848*E5+375.61</f>
        <v>375.61</v>
      </c>
      <c r="F15" s="3"/>
      <c r="G15" s="3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</row>
    <row r="16" spans="1:7" ht="16.5" customHeight="1">
      <c r="A16" s="324" t="s">
        <v>75</v>
      </c>
      <c r="B16" s="346"/>
      <c r="C16" s="346"/>
      <c r="D16" s="346"/>
      <c r="E16" s="38">
        <f>E15*(1+E8)</f>
        <v>391.76123</v>
      </c>
      <c r="F16" s="3"/>
      <c r="G16" s="3"/>
    </row>
    <row r="17" spans="1:7" ht="15" customHeight="1" thickBot="1">
      <c r="A17" s="342" t="s">
        <v>11</v>
      </c>
      <c r="B17" s="343"/>
      <c r="C17" s="343"/>
      <c r="D17" s="343"/>
      <c r="E17" s="39">
        <f>IF($E$10=$E8,$E$7/(1+$E$10),(1-((1+$E8)/(1+$E$10))^$E$7)/($E$10-$E8))</f>
        <v>23.826248301491415</v>
      </c>
      <c r="F17" s="3"/>
      <c r="G17" s="3"/>
    </row>
    <row r="18" spans="1:7" ht="29.25" customHeight="1" thickBot="1" thickTop="1">
      <c r="A18" s="344" t="s">
        <v>21</v>
      </c>
      <c r="B18" s="345"/>
      <c r="C18" s="345"/>
      <c r="D18" s="345"/>
      <c r="E18" s="236">
        <f>ROUND(E16*E17,-3)</f>
        <v>9000</v>
      </c>
      <c r="F18" s="3"/>
      <c r="G18" s="3"/>
    </row>
    <row r="19" spans="1:153" s="7" customFormat="1" ht="28.5" customHeight="1">
      <c r="A19" s="340" t="s">
        <v>72</v>
      </c>
      <c r="B19" s="340"/>
      <c r="C19" s="340"/>
      <c r="D19" s="340"/>
      <c r="E19" s="340"/>
      <c r="F19" s="5"/>
      <c r="G19" s="3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</row>
    <row r="20" spans="1:153" s="51" customFormat="1" ht="14.25" customHeight="1">
      <c r="A20" s="29"/>
      <c r="B20" s="29"/>
      <c r="C20" s="29"/>
      <c r="D20" s="29"/>
      <c r="E20" s="29"/>
      <c r="F20" s="30"/>
      <c r="G20" s="31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</row>
    <row r="21" spans="1:7" s="8" customFormat="1" ht="15" customHeight="1">
      <c r="A21" s="284" t="s">
        <v>160</v>
      </c>
      <c r="B21" s="284"/>
      <c r="C21" s="284"/>
      <c r="D21" s="284"/>
      <c r="E21" s="284"/>
      <c r="F21" s="284"/>
      <c r="G21" s="284"/>
    </row>
    <row r="22" spans="1:7" s="8" customFormat="1" ht="15" customHeight="1" thickBot="1">
      <c r="A22" s="339" t="s">
        <v>166</v>
      </c>
      <c r="B22" s="339"/>
      <c r="C22" s="339"/>
      <c r="D22" s="339"/>
      <c r="E22" s="339"/>
      <c r="F22" s="339"/>
      <c r="G22" s="339"/>
    </row>
    <row r="23" spans="1:7" s="8" customFormat="1" ht="15" customHeight="1">
      <c r="A23" s="335" t="s">
        <v>163</v>
      </c>
      <c r="B23" s="336"/>
      <c r="C23" s="336"/>
      <c r="D23" s="336"/>
      <c r="E23" s="37">
        <v>240</v>
      </c>
      <c r="G23" s="34"/>
    </row>
    <row r="24" spans="1:7" s="8" customFormat="1" ht="15">
      <c r="A24" s="324" t="s">
        <v>164</v>
      </c>
      <c r="B24" s="325"/>
      <c r="C24" s="325"/>
      <c r="D24" s="325"/>
      <c r="E24" s="38">
        <f>IF(E5&gt;20,8100,3900)</f>
        <v>3900</v>
      </c>
      <c r="G24" s="34"/>
    </row>
    <row r="25" spans="1:7" s="8" customFormat="1" ht="15" customHeight="1">
      <c r="A25" s="324" t="s">
        <v>165</v>
      </c>
      <c r="B25" s="325"/>
      <c r="C25" s="325"/>
      <c r="D25" s="325"/>
      <c r="E25" s="38">
        <f>SUM(E23:E24)</f>
        <v>4140</v>
      </c>
      <c r="G25" s="34"/>
    </row>
    <row r="26" spans="1:7" s="8" customFormat="1" ht="15" customHeight="1">
      <c r="A26" s="324" t="s">
        <v>100</v>
      </c>
      <c r="B26" s="325"/>
      <c r="C26" s="325"/>
      <c r="D26" s="325"/>
      <c r="E26" s="38">
        <f>E25*(1+E9)</f>
        <v>4261.716</v>
      </c>
      <c r="G26" s="34"/>
    </row>
    <row r="27" spans="1:7" s="8" customFormat="1" ht="15" customHeight="1" thickBot="1">
      <c r="A27" s="327" t="s">
        <v>74</v>
      </c>
      <c r="B27" s="328"/>
      <c r="C27" s="328"/>
      <c r="D27" s="328"/>
      <c r="E27" s="104">
        <f>IF(E10=E8,E7/(1+E10),(1-((1+$E$9)/(1+$E$10))^$E$7)/($E$10-$E$9))</f>
        <v>20.909929455219462</v>
      </c>
      <c r="G27" s="34"/>
    </row>
    <row r="28" spans="1:7" ht="15" customHeight="1" thickBot="1" thickTop="1">
      <c r="A28" s="333" t="s">
        <v>73</v>
      </c>
      <c r="B28" s="334"/>
      <c r="C28" s="334"/>
      <c r="D28" s="334"/>
      <c r="E28" s="237">
        <f>ROUND(E27*E26,-3)</f>
        <v>89000</v>
      </c>
      <c r="F28" s="8"/>
      <c r="G28" s="34"/>
    </row>
    <row r="29" spans="1:7" ht="15">
      <c r="A29" s="8"/>
      <c r="B29" s="8"/>
      <c r="C29" s="8"/>
      <c r="D29" s="8"/>
      <c r="E29" s="8"/>
      <c r="F29" s="34"/>
      <c r="G29" s="34"/>
    </row>
    <row r="30" spans="1:7" ht="15">
      <c r="A30" s="339" t="s">
        <v>162</v>
      </c>
      <c r="B30" s="339"/>
      <c r="C30" s="339"/>
      <c r="D30" s="339"/>
      <c r="E30" s="339"/>
      <c r="F30" s="339"/>
      <c r="G30" s="339"/>
    </row>
    <row r="31" spans="1:7" ht="15.75" thickBot="1">
      <c r="A31" s="330" t="s">
        <v>68</v>
      </c>
      <c r="B31" s="330"/>
      <c r="C31" s="330"/>
      <c r="D31" s="7"/>
      <c r="E31" s="7"/>
      <c r="F31" s="7"/>
      <c r="G31" s="7"/>
    </row>
    <row r="32" spans="1:7" ht="45.75" thickBot="1">
      <c r="A32" s="101" t="s">
        <v>6</v>
      </c>
      <c r="B32" s="102" t="s">
        <v>44</v>
      </c>
      <c r="C32" s="103" t="s">
        <v>45</v>
      </c>
      <c r="D32" s="7"/>
      <c r="E32" s="7"/>
      <c r="F32" s="7"/>
      <c r="G32" s="7"/>
    </row>
    <row r="33" spans="1:7" ht="15.75" thickTop="1">
      <c r="A33" s="99">
        <v>0</v>
      </c>
      <c r="B33" s="90"/>
      <c r="C33" s="100">
        <f>B33*2</f>
        <v>0</v>
      </c>
      <c r="D33" s="32"/>
      <c r="E33" s="33"/>
      <c r="F33" s="33"/>
      <c r="G33" s="33"/>
    </row>
    <row r="34" spans="1:7" ht="15">
      <c r="A34" s="41">
        <v>5</v>
      </c>
      <c r="B34" s="43">
        <v>33746</v>
      </c>
      <c r="C34" s="42">
        <f aca="true" t="shared" si="0" ref="C34:C39">B34*2</f>
        <v>67492</v>
      </c>
      <c r="D34" s="32"/>
      <c r="E34" s="33"/>
      <c r="F34" s="33"/>
      <c r="G34" s="33"/>
    </row>
    <row r="35" spans="1:7" ht="15">
      <c r="A35" s="41">
        <v>10</v>
      </c>
      <c r="B35" s="43">
        <v>36120</v>
      </c>
      <c r="C35" s="42">
        <f t="shared" si="0"/>
        <v>72240</v>
      </c>
      <c r="D35" s="32"/>
      <c r="E35" s="33"/>
      <c r="F35" s="33"/>
      <c r="G35" s="33"/>
    </row>
    <row r="36" spans="1:7" ht="15">
      <c r="A36" s="41">
        <v>15</v>
      </c>
      <c r="B36" s="43">
        <v>37946</v>
      </c>
      <c r="C36" s="42">
        <f t="shared" si="0"/>
        <v>75892</v>
      </c>
      <c r="D36" s="32"/>
      <c r="E36" s="33"/>
      <c r="F36" s="33"/>
      <c r="G36" s="33"/>
    </row>
    <row r="37" spans="1:7" ht="15">
      <c r="A37" s="41">
        <v>25</v>
      </c>
      <c r="B37" s="43">
        <v>43912</v>
      </c>
      <c r="C37" s="42">
        <f t="shared" si="0"/>
        <v>87824</v>
      </c>
      <c r="D37" s="32"/>
      <c r="E37" s="33"/>
      <c r="F37" s="33"/>
      <c r="G37" s="33"/>
    </row>
    <row r="38" spans="1:153" s="8" customFormat="1" ht="15">
      <c r="A38" s="41">
        <v>40</v>
      </c>
      <c r="B38" s="43">
        <v>47576</v>
      </c>
      <c r="C38" s="42">
        <f t="shared" si="0"/>
        <v>95152</v>
      </c>
      <c r="D38" s="32"/>
      <c r="E38" s="33"/>
      <c r="F38" s="33"/>
      <c r="G38" s="33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</row>
    <row r="39" spans="1:7" ht="15.75" thickBot="1">
      <c r="A39" s="44">
        <v>50</v>
      </c>
      <c r="B39" s="45">
        <v>49711</v>
      </c>
      <c r="C39" s="46">
        <f t="shared" si="0"/>
        <v>99422</v>
      </c>
      <c r="D39" s="30"/>
      <c r="E39" s="31"/>
      <c r="F39" s="31"/>
      <c r="G39" s="31"/>
    </row>
    <row r="40" spans="1:7" ht="15">
      <c r="A40" s="29"/>
      <c r="B40" s="29"/>
      <c r="C40" s="29"/>
      <c r="D40" s="29"/>
      <c r="E40" s="7"/>
      <c r="F40" s="7"/>
      <c r="G40" s="7"/>
    </row>
    <row r="41" spans="1:153" s="8" customFormat="1" ht="15">
      <c r="A41" s="323" t="s">
        <v>24</v>
      </c>
      <c r="B41" s="323"/>
      <c r="C41" s="323"/>
      <c r="D41" s="23">
        <f>E5</f>
        <v>0</v>
      </c>
      <c r="E41" s="24"/>
      <c r="F41" s="7"/>
      <c r="G41" s="7"/>
      <c r="H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</row>
    <row r="42" spans="1:7" ht="15">
      <c r="A42" s="323" t="s">
        <v>78</v>
      </c>
      <c r="B42" s="323"/>
      <c r="C42" s="323"/>
      <c r="D42" s="23">
        <v>20</v>
      </c>
      <c r="E42" s="29"/>
      <c r="F42" s="30"/>
      <c r="G42" s="31"/>
    </row>
    <row r="43" spans="1:7" ht="15">
      <c r="A43" s="323" t="s">
        <v>69</v>
      </c>
      <c r="B43" s="323"/>
      <c r="C43" s="323"/>
      <c r="D43" s="24">
        <f>722.86*E5+65535</f>
        <v>65535</v>
      </c>
      <c r="E43" s="7"/>
      <c r="F43" s="7"/>
      <c r="G43" s="7"/>
    </row>
    <row r="44" spans="1:7" ht="15">
      <c r="A44" s="18"/>
      <c r="B44" s="18"/>
      <c r="C44" s="18"/>
      <c r="D44" s="24"/>
      <c r="E44" s="7"/>
      <c r="F44" s="7"/>
      <c r="G44" s="7"/>
    </row>
    <row r="45" spans="1:7" ht="15.75" thickBot="1">
      <c r="A45" s="311" t="s">
        <v>43</v>
      </c>
      <c r="B45" s="311"/>
      <c r="C45" s="311"/>
      <c r="D45" s="311"/>
      <c r="E45" s="311"/>
      <c r="F45" s="311"/>
      <c r="G45" s="311"/>
    </row>
    <row r="46" spans="1:153" s="8" customFormat="1" ht="37.5" thickBot="1">
      <c r="A46" s="95" t="s">
        <v>147</v>
      </c>
      <c r="B46" s="96" t="s">
        <v>25</v>
      </c>
      <c r="C46" s="96" t="s">
        <v>32</v>
      </c>
      <c r="D46" s="97" t="s">
        <v>27</v>
      </c>
      <c r="E46" s="97" t="s">
        <v>33</v>
      </c>
      <c r="F46" s="97" t="s">
        <v>35</v>
      </c>
      <c r="G46" s="98" t="s">
        <v>10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</row>
    <row r="47" spans="1:153" s="8" customFormat="1" ht="30.75" customHeight="1" thickTop="1">
      <c r="A47" s="89">
        <v>20</v>
      </c>
      <c r="B47" s="90" t="s">
        <v>76</v>
      </c>
      <c r="C47" s="91">
        <f>+D43</f>
        <v>65535</v>
      </c>
      <c r="D47" s="92">
        <f>(1+$E$9)^(A47)</f>
        <v>1.7851852024624193</v>
      </c>
      <c r="E47" s="93">
        <f>D47*C47</f>
        <v>116992.11224337465</v>
      </c>
      <c r="F47" s="92">
        <f>1/(1+$E$10)^(A47)</f>
        <v>0.6433284891382214</v>
      </c>
      <c r="G47" s="94">
        <f>E47*F47</f>
        <v>75264.35881061942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</row>
    <row r="48" spans="1:153" s="8" customFormat="1" ht="15.75" thickBot="1">
      <c r="A48" s="331" t="s">
        <v>154</v>
      </c>
      <c r="B48" s="332"/>
      <c r="C48" s="332"/>
      <c r="D48" s="332"/>
      <c r="E48" s="332"/>
      <c r="F48" s="332"/>
      <c r="G48" s="238">
        <f>ROUND(SUM(G47:G47),-3)</f>
        <v>75000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</row>
    <row r="49" spans="1:153" s="8" customFormat="1" ht="15">
      <c r="A49" s="17"/>
      <c r="B49" s="17"/>
      <c r="C49" s="17"/>
      <c r="D49" s="17"/>
      <c r="E49" s="17"/>
      <c r="F49" s="17"/>
      <c r="G49" s="10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</row>
    <row r="50" spans="1:7" ht="15">
      <c r="A50" s="7" t="s">
        <v>16</v>
      </c>
      <c r="B50" s="7"/>
      <c r="C50" s="35"/>
      <c r="D50" s="36"/>
      <c r="E50" s="7"/>
      <c r="F50" s="29"/>
      <c r="G50" s="40"/>
    </row>
    <row r="51" spans="1:7" ht="15" customHeight="1">
      <c r="A51" s="7" t="s">
        <v>28</v>
      </c>
      <c r="B51" s="7"/>
      <c r="C51" s="7"/>
      <c r="D51" s="36"/>
      <c r="E51" s="7"/>
      <c r="F51" s="29"/>
      <c r="G51" s="7"/>
    </row>
    <row r="52" spans="1:153" s="8" customFormat="1" ht="15" customHeight="1">
      <c r="A52" s="329" t="s">
        <v>34</v>
      </c>
      <c r="B52" s="329"/>
      <c r="C52" s="329"/>
      <c r="D52" s="329"/>
      <c r="E52" s="329"/>
      <c r="F52" s="329"/>
      <c r="G52" s="329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</row>
    <row r="53" spans="1:7" ht="15" customHeight="1">
      <c r="A53" s="329"/>
      <c r="B53" s="329"/>
      <c r="C53" s="329"/>
      <c r="D53" s="329"/>
      <c r="E53" s="329"/>
      <c r="F53" s="329"/>
      <c r="G53" s="329"/>
    </row>
    <row r="54" spans="1:153" s="8" customFormat="1" ht="14.25" customHeight="1">
      <c r="A54" s="326" t="s">
        <v>148</v>
      </c>
      <c r="B54" s="326"/>
      <c r="C54" s="326"/>
      <c r="D54" s="326"/>
      <c r="E54" s="326"/>
      <c r="F54" s="326"/>
      <c r="G54" s="326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</row>
    <row r="56" spans="1:7" ht="15.75">
      <c r="A56" s="284" t="s">
        <v>160</v>
      </c>
      <c r="B56" s="284"/>
      <c r="C56" s="284"/>
      <c r="D56" s="284"/>
      <c r="E56" s="284"/>
      <c r="F56" s="284"/>
      <c r="G56" s="284"/>
    </row>
    <row r="57" spans="1:7" ht="15.75" thickBot="1">
      <c r="A57" s="347" t="s">
        <v>161</v>
      </c>
      <c r="B57" s="347"/>
      <c r="C57" s="347"/>
      <c r="D57" s="347"/>
      <c r="E57" s="347"/>
      <c r="F57" s="347"/>
      <c r="G57" s="347"/>
    </row>
    <row r="58" spans="1:6" ht="15.75" thickBot="1">
      <c r="A58" s="302" t="s">
        <v>12</v>
      </c>
      <c r="B58" s="303"/>
      <c r="C58" s="81" t="s">
        <v>13</v>
      </c>
      <c r="D58" s="81" t="s">
        <v>4</v>
      </c>
      <c r="E58" s="81" t="s">
        <v>5</v>
      </c>
      <c r="F58" s="82" t="s">
        <v>14</v>
      </c>
    </row>
    <row r="59" spans="1:6" ht="16.5" thickBot="1" thickTop="1">
      <c r="A59" s="350" t="s">
        <v>98</v>
      </c>
      <c r="B59" s="351"/>
      <c r="C59" s="77">
        <f>SUM('LS Option-Gravity Construction'!D6:D23)</f>
        <v>0</v>
      </c>
      <c r="D59" s="78" t="s">
        <v>3</v>
      </c>
      <c r="E59" s="79">
        <v>2</v>
      </c>
      <c r="F59" s="80">
        <f>E59*C59</f>
        <v>0</v>
      </c>
    </row>
    <row r="60" spans="1:6" ht="15">
      <c r="A60" s="106"/>
      <c r="B60" s="106"/>
      <c r="C60" s="106"/>
      <c r="D60" s="106"/>
      <c r="E60" s="106"/>
      <c r="F60" s="106"/>
    </row>
    <row r="61" spans="1:6" ht="15.75" thickBot="1">
      <c r="A61" s="311" t="s">
        <v>81</v>
      </c>
      <c r="B61" s="311"/>
      <c r="C61" s="311"/>
      <c r="D61" s="311"/>
      <c r="E61" s="311"/>
      <c r="F61" s="311"/>
    </row>
    <row r="62" spans="1:6" ht="32.25" thickBot="1">
      <c r="A62" s="73" t="s">
        <v>31</v>
      </c>
      <c r="B62" s="74" t="s">
        <v>23</v>
      </c>
      <c r="C62" s="304" t="s">
        <v>15</v>
      </c>
      <c r="D62" s="305"/>
      <c r="E62" s="75" t="s">
        <v>30</v>
      </c>
      <c r="F62" s="76" t="s">
        <v>10</v>
      </c>
    </row>
    <row r="63" spans="1:6" ht="15.75" thickTop="1">
      <c r="A63" s="83">
        <v>10</v>
      </c>
      <c r="B63" s="84">
        <f>(1+$E$9)^(A63)</f>
        <v>1.3361082300706104</v>
      </c>
      <c r="C63" s="306">
        <f>$F$59*B63</f>
        <v>0</v>
      </c>
      <c r="D63" s="306"/>
      <c r="E63" s="84">
        <f>1/(1+$E$10)^(A63)</f>
        <v>0.8020776079272014</v>
      </c>
      <c r="F63" s="85">
        <f>C63*E63</f>
        <v>0</v>
      </c>
    </row>
    <row r="64" spans="1:6" ht="15">
      <c r="A64" s="86">
        <v>20</v>
      </c>
      <c r="B64" s="87">
        <f>(1+$E$9)^(A64)</f>
        <v>1.7851852024624193</v>
      </c>
      <c r="C64" s="348">
        <f>$F$59*B64</f>
        <v>0</v>
      </c>
      <c r="D64" s="349"/>
      <c r="E64" s="87">
        <f>1/(1+$E$10)^(A64)</f>
        <v>0.6433284891382214</v>
      </c>
      <c r="F64" s="88">
        <f>C64*E64</f>
        <v>0</v>
      </c>
    </row>
    <row r="65" spans="1:6" ht="15.75" thickBot="1">
      <c r="A65" s="309" t="s">
        <v>83</v>
      </c>
      <c r="B65" s="310"/>
      <c r="C65" s="310"/>
      <c r="D65" s="310"/>
      <c r="E65" s="310"/>
      <c r="F65" s="239">
        <f>ROUND(SUM(F63:F64),-3)</f>
        <v>0</v>
      </c>
    </row>
  </sheetData>
  <sheetProtection selectLockedCells="1" selectUnlockedCells="1"/>
  <mergeCells count="41">
    <mergeCell ref="A1:G1"/>
    <mergeCell ref="A65:E65"/>
    <mergeCell ref="A57:G57"/>
    <mergeCell ref="C63:D63"/>
    <mergeCell ref="C64:D64"/>
    <mergeCell ref="A58:B58"/>
    <mergeCell ref="A59:B59"/>
    <mergeCell ref="A61:F61"/>
    <mergeCell ref="C62:D62"/>
    <mergeCell ref="A30:G30"/>
    <mergeCell ref="A4:E4"/>
    <mergeCell ref="A8:D8"/>
    <mergeCell ref="A5:D5"/>
    <mergeCell ref="A6:D6"/>
    <mergeCell ref="A7:D7"/>
    <mergeCell ref="A9:D9"/>
    <mergeCell ref="A25:D25"/>
    <mergeCell ref="A10:D10"/>
    <mergeCell ref="A13:G13"/>
    <mergeCell ref="A19:E19"/>
    <mergeCell ref="A22:G22"/>
    <mergeCell ref="A15:D15"/>
    <mergeCell ref="A17:D17"/>
    <mergeCell ref="A18:D18"/>
    <mergeCell ref="A16:D16"/>
    <mergeCell ref="A41:C41"/>
    <mergeCell ref="A2:G2"/>
    <mergeCell ref="A56:G56"/>
    <mergeCell ref="A21:G21"/>
    <mergeCell ref="A26:D26"/>
    <mergeCell ref="A43:C43"/>
    <mergeCell ref="A54:G54"/>
    <mergeCell ref="A27:D27"/>
    <mergeCell ref="A45:G45"/>
    <mergeCell ref="A52:G53"/>
    <mergeCell ref="A31:C31"/>
    <mergeCell ref="A48:F48"/>
    <mergeCell ref="A42:C42"/>
    <mergeCell ref="A28:D28"/>
    <mergeCell ref="A23:D23"/>
    <mergeCell ref="A24:D24"/>
  </mergeCells>
  <printOptions horizontalCentered="1"/>
  <pageMargins left="0.7" right="0.7" top="0.75" bottom="0.75" header="0.3" footer="0.3"/>
  <pageSetup fitToHeight="0" fitToWidth="0" horizontalDpi="600" verticalDpi="600" orientation="portrait" scale="96" r:id="rId1"/>
  <headerFooter>
    <oddHeader>&amp;C&amp;"-,Bold Italic"Appendix A - 20-Year Life Cylce Cost Summary Worksheets</oddHeader>
    <oddFooter>&amp;CPage &amp;P of &amp;N</oddFooter>
  </headerFooter>
  <rowBreaks count="2" manualBreakCount="2">
    <brk id="20" max="6" man="1"/>
    <brk id="55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G21"/>
  <sheetViews>
    <sheetView zoomScaleSheetLayoutView="115" zoomScalePageLayoutView="0" workbookViewId="0" topLeftCell="A1">
      <selection activeCell="H14" sqref="H14"/>
    </sheetView>
  </sheetViews>
  <sheetFormatPr defaultColWidth="9.140625" defaultRowHeight="15"/>
  <cols>
    <col min="1" max="1" width="10.421875" style="0" bestFit="1" customWidth="1"/>
    <col min="2" max="2" width="46.00390625" style="0" customWidth="1"/>
    <col min="4" max="4" width="11.28125" style="0" bestFit="1" customWidth="1"/>
    <col min="5" max="5" width="15.28125" style="0" customWidth="1"/>
    <col min="6" max="6" width="15.140625" style="0" customWidth="1"/>
    <col min="7" max="7" width="11.57421875" style="0" bestFit="1" customWidth="1"/>
  </cols>
  <sheetData>
    <row r="1" spans="1:6" ht="15.75">
      <c r="A1" s="284" t="s">
        <v>112</v>
      </c>
      <c r="B1" s="284"/>
      <c r="C1" s="284"/>
      <c r="D1" s="284"/>
      <c r="E1" s="284"/>
      <c r="F1" s="284"/>
    </row>
    <row r="2" spans="1:6" ht="15">
      <c r="A2" s="289" t="s">
        <v>176</v>
      </c>
      <c r="B2" s="289"/>
      <c r="C2" s="289"/>
      <c r="D2" s="289"/>
      <c r="E2" s="289"/>
      <c r="F2" s="289"/>
    </row>
    <row r="3" spans="1:6" s="8" customFormat="1" ht="15">
      <c r="A3" s="231"/>
      <c r="B3" s="231"/>
      <c r="C3" s="231"/>
      <c r="D3" s="231"/>
      <c r="E3" s="231"/>
      <c r="F3" s="231"/>
    </row>
    <row r="4" spans="1:6" ht="15.75" thickBot="1">
      <c r="A4" s="282" t="s">
        <v>111</v>
      </c>
      <c r="B4" s="282"/>
      <c r="C4" s="282"/>
      <c r="D4" s="282"/>
      <c r="E4" s="282"/>
      <c r="F4" s="282"/>
    </row>
    <row r="5" spans="1:6" ht="15.75" thickBot="1">
      <c r="A5" s="25" t="s">
        <v>47</v>
      </c>
      <c r="B5" s="26" t="s">
        <v>0</v>
      </c>
      <c r="C5" s="26" t="s">
        <v>42</v>
      </c>
      <c r="D5" s="26" t="s">
        <v>48</v>
      </c>
      <c r="E5" s="26" t="s">
        <v>1</v>
      </c>
      <c r="F5" s="27" t="s">
        <v>2</v>
      </c>
    </row>
    <row r="6" spans="1:6" ht="15.75" thickTop="1">
      <c r="A6" s="56">
        <v>1</v>
      </c>
      <c r="B6" s="115" t="s">
        <v>87</v>
      </c>
      <c r="C6" s="57" t="s">
        <v>41</v>
      </c>
      <c r="D6" s="122"/>
      <c r="E6" s="113">
        <v>20</v>
      </c>
      <c r="F6" s="197">
        <f>E6*D6</f>
        <v>0</v>
      </c>
    </row>
    <row r="7" spans="1:6" ht="15">
      <c r="A7" s="58">
        <f>A6+1</f>
        <v>2</v>
      </c>
      <c r="B7" s="116" t="s">
        <v>95</v>
      </c>
      <c r="C7" s="59" t="s">
        <v>41</v>
      </c>
      <c r="D7" s="123"/>
      <c r="E7" s="114">
        <v>15</v>
      </c>
      <c r="F7" s="198">
        <f>E7*D7</f>
        <v>0</v>
      </c>
    </row>
    <row r="8" spans="1:6" s="8" customFormat="1" ht="15">
      <c r="A8" s="58">
        <f>A7+1</f>
        <v>3</v>
      </c>
      <c r="B8" s="117" t="s">
        <v>88</v>
      </c>
      <c r="C8" s="59" t="s">
        <v>41</v>
      </c>
      <c r="D8" s="123"/>
      <c r="E8" s="114">
        <v>15</v>
      </c>
      <c r="F8" s="198">
        <f>E8*D8</f>
        <v>0</v>
      </c>
    </row>
    <row r="9" spans="1:6" s="8" customFormat="1" ht="15">
      <c r="A9" s="58">
        <f aca="true" t="shared" si="0" ref="A9:A14">A8+1</f>
        <v>4</v>
      </c>
      <c r="B9" s="117" t="s">
        <v>89</v>
      </c>
      <c r="C9" s="59" t="s">
        <v>41</v>
      </c>
      <c r="D9" s="123"/>
      <c r="E9" s="114">
        <v>20</v>
      </c>
      <c r="F9" s="198">
        <f>E9*D9</f>
        <v>0</v>
      </c>
    </row>
    <row r="10" spans="1:6" ht="15">
      <c r="A10" s="58">
        <f t="shared" si="0"/>
        <v>5</v>
      </c>
      <c r="B10" s="117" t="s">
        <v>90</v>
      </c>
      <c r="C10" s="59" t="s">
        <v>41</v>
      </c>
      <c r="D10" s="123"/>
      <c r="E10" s="114">
        <v>20</v>
      </c>
      <c r="F10" s="198">
        <f>E10*D10</f>
        <v>0</v>
      </c>
    </row>
    <row r="11" spans="1:6" s="8" customFormat="1" ht="15">
      <c r="A11" s="58">
        <f t="shared" si="0"/>
        <v>6</v>
      </c>
      <c r="B11" s="118" t="s">
        <v>91</v>
      </c>
      <c r="C11" s="59" t="s">
        <v>54</v>
      </c>
      <c r="D11" s="123"/>
      <c r="E11" s="184">
        <v>4400</v>
      </c>
      <c r="F11" s="198">
        <f>E11*D11</f>
        <v>0</v>
      </c>
    </row>
    <row r="12" spans="1:7" ht="15">
      <c r="A12" s="58">
        <f t="shared" si="0"/>
        <v>7</v>
      </c>
      <c r="B12" s="183" t="s">
        <v>92</v>
      </c>
      <c r="C12" s="59" t="s">
        <v>54</v>
      </c>
      <c r="D12" s="123"/>
      <c r="E12" s="184">
        <v>4800</v>
      </c>
      <c r="F12" s="198">
        <f>E12*D12</f>
        <v>0</v>
      </c>
      <c r="G12" s="8"/>
    </row>
    <row r="13" spans="1:6" s="8" customFormat="1" ht="15">
      <c r="A13" s="58">
        <f t="shared" si="0"/>
        <v>8</v>
      </c>
      <c r="B13" s="183" t="s">
        <v>110</v>
      </c>
      <c r="C13" s="59" t="s">
        <v>54</v>
      </c>
      <c r="D13" s="185">
        <f>D12</f>
        <v>0</v>
      </c>
      <c r="E13" s="249">
        <v>1200</v>
      </c>
      <c r="F13" s="198">
        <f>E13*D13</f>
        <v>0</v>
      </c>
    </row>
    <row r="14" spans="1:6" s="8" customFormat="1" ht="15">
      <c r="A14" s="58">
        <f t="shared" si="0"/>
        <v>9</v>
      </c>
      <c r="B14" s="183" t="s">
        <v>123</v>
      </c>
      <c r="C14" s="59" t="s">
        <v>122</v>
      </c>
      <c r="D14" s="185">
        <f>200*(D12)</f>
        <v>0</v>
      </c>
      <c r="E14" s="184">
        <v>1</v>
      </c>
      <c r="F14" s="198">
        <f>E14*D14</f>
        <v>0</v>
      </c>
    </row>
    <row r="15" spans="1:7" ht="15">
      <c r="A15" s="290" t="s">
        <v>109</v>
      </c>
      <c r="B15" s="291"/>
      <c r="C15" s="291"/>
      <c r="D15" s="292"/>
      <c r="E15" s="293"/>
      <c r="F15" s="160">
        <f>ROUND(SUM(F6:F14),-3)</f>
        <v>0</v>
      </c>
      <c r="G15" s="55"/>
    </row>
    <row r="16" spans="1:6" ht="15">
      <c r="A16" s="178">
        <f>A14+1</f>
        <v>10</v>
      </c>
      <c r="B16" s="161" t="s">
        <v>102</v>
      </c>
      <c r="C16" s="162" t="s">
        <v>101</v>
      </c>
      <c r="D16" s="163">
        <v>0.05</v>
      </c>
      <c r="E16" s="164">
        <f>$F$15*D16</f>
        <v>0</v>
      </c>
      <c r="F16" s="179">
        <f>E16</f>
        <v>0</v>
      </c>
    </row>
    <row r="17" spans="1:6" ht="15">
      <c r="A17" s="180">
        <f>A16+1</f>
        <v>11</v>
      </c>
      <c r="B17" s="165" t="s">
        <v>103</v>
      </c>
      <c r="C17" s="136" t="s">
        <v>101</v>
      </c>
      <c r="D17" s="166">
        <v>0.02</v>
      </c>
      <c r="E17" s="137">
        <f>$F$15*D17</f>
        <v>0</v>
      </c>
      <c r="F17" s="138">
        <f>E17</f>
        <v>0</v>
      </c>
    </row>
    <row r="18" spans="1:7" ht="15.75" thickBot="1">
      <c r="A18" s="181">
        <f>A17+1</f>
        <v>12</v>
      </c>
      <c r="B18" s="167" t="s">
        <v>104</v>
      </c>
      <c r="C18" s="143" t="s">
        <v>101</v>
      </c>
      <c r="D18" s="168">
        <v>0.02</v>
      </c>
      <c r="E18" s="144">
        <f>$F$15*D18</f>
        <v>0</v>
      </c>
      <c r="F18" s="182">
        <f>E18</f>
        <v>0</v>
      </c>
      <c r="G18" s="111"/>
    </row>
    <row r="19" spans="1:6" ht="16.5" thickBot="1" thickTop="1">
      <c r="A19" s="353" t="s">
        <v>107</v>
      </c>
      <c r="B19" s="354"/>
      <c r="C19" s="354"/>
      <c r="D19" s="354"/>
      <c r="E19" s="355"/>
      <c r="F19" s="216">
        <f>ROUND(SUM(F15:F18),-3)</f>
        <v>0</v>
      </c>
    </row>
    <row r="20" spans="1:6" ht="15">
      <c r="A20" s="199" t="s">
        <v>125</v>
      </c>
      <c r="B20" s="171"/>
      <c r="C20" s="171"/>
      <c r="D20" s="171"/>
      <c r="E20" s="171"/>
      <c r="F20" s="177"/>
    </row>
    <row r="21" spans="1:6" ht="15">
      <c r="A21" s="200">
        <v>1</v>
      </c>
      <c r="B21" s="356" t="s">
        <v>127</v>
      </c>
      <c r="C21" s="356"/>
      <c r="D21" s="356"/>
      <c r="E21" s="356"/>
      <c r="F21" s="356"/>
    </row>
  </sheetData>
  <sheetProtection selectLockedCells="1"/>
  <mergeCells count="6">
    <mergeCell ref="A4:F4"/>
    <mergeCell ref="A15:E15"/>
    <mergeCell ref="A19:E19"/>
    <mergeCell ref="A1:F1"/>
    <mergeCell ref="B21:F21"/>
    <mergeCell ref="A2:F2"/>
  </mergeCells>
  <printOptions/>
  <pageMargins left="0.7" right="0.7" top="0.75" bottom="0.75" header="0.3" footer="0.3"/>
  <pageSetup horizontalDpi="600" verticalDpi="600" orientation="landscape" r:id="rId1"/>
  <headerFooter>
    <oddHeader>&amp;C&amp;"-,Bold Italic"Appendix A - 20-Year Life Cylce Cost Summary Worksheets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G66"/>
  <sheetViews>
    <sheetView zoomScaleSheetLayoutView="85" zoomScalePageLayoutView="0" workbookViewId="0" topLeftCell="A55">
      <selection activeCell="E26" sqref="E26"/>
    </sheetView>
  </sheetViews>
  <sheetFormatPr defaultColWidth="9.140625" defaultRowHeight="15"/>
  <cols>
    <col min="1" max="1" width="23.57421875" style="254" customWidth="1"/>
    <col min="2" max="2" width="16.421875" style="0" customWidth="1"/>
    <col min="3" max="3" width="12.140625" style="0" customWidth="1"/>
    <col min="4" max="4" width="10.140625" style="0" bestFit="1" customWidth="1"/>
    <col min="5" max="5" width="12.421875" style="0" customWidth="1"/>
    <col min="6" max="6" width="11.7109375" style="0" customWidth="1"/>
    <col min="7" max="7" width="14.00390625" style="0" bestFit="1" customWidth="1"/>
  </cols>
  <sheetData>
    <row r="1" spans="1:7" s="8" customFormat="1" ht="15.75">
      <c r="A1" s="284" t="s">
        <v>179</v>
      </c>
      <c r="B1" s="284"/>
      <c r="C1" s="284"/>
      <c r="D1" s="284"/>
      <c r="E1" s="284"/>
      <c r="F1" s="284"/>
      <c r="G1" s="284"/>
    </row>
    <row r="2" spans="1:7" s="8" customFormat="1" ht="15">
      <c r="A2" s="289" t="s">
        <v>177</v>
      </c>
      <c r="B2" s="289"/>
      <c r="C2" s="289"/>
      <c r="D2" s="289"/>
      <c r="E2" s="289"/>
      <c r="F2" s="289"/>
      <c r="G2" s="289"/>
    </row>
    <row r="3" spans="1:7" s="8" customFormat="1" ht="15">
      <c r="A3" s="253"/>
      <c r="B3" s="231"/>
      <c r="C3" s="231"/>
      <c r="D3" s="231"/>
      <c r="E3" s="231"/>
      <c r="F3" s="231"/>
      <c r="G3" s="231"/>
    </row>
    <row r="4" spans="1:5" ht="15.75" thickBot="1">
      <c r="A4" s="352" t="s">
        <v>40</v>
      </c>
      <c r="B4" s="352"/>
      <c r="C4" s="352"/>
      <c r="D4" s="352"/>
      <c r="E4" s="352"/>
    </row>
    <row r="5" spans="1:5" s="8" customFormat="1" ht="15">
      <c r="A5" s="324" t="s">
        <v>85</v>
      </c>
      <c r="B5" s="346"/>
      <c r="C5" s="346"/>
      <c r="D5" s="346"/>
      <c r="E5" s="110">
        <f>'LowPressureOption-Construction'!D12</f>
        <v>0</v>
      </c>
    </row>
    <row r="6" spans="1:5" s="8" customFormat="1" ht="15">
      <c r="A6" s="324" t="s">
        <v>86</v>
      </c>
      <c r="B6" s="346"/>
      <c r="C6" s="346"/>
      <c r="D6" s="346"/>
      <c r="E6" s="110">
        <f>E5</f>
        <v>0</v>
      </c>
    </row>
    <row r="7" spans="1:5" s="8" customFormat="1" ht="15">
      <c r="A7" s="324" t="s">
        <v>120</v>
      </c>
      <c r="B7" s="346"/>
      <c r="C7" s="346"/>
      <c r="D7" s="346"/>
      <c r="E7" s="110">
        <f>'LowPressureOption-Construction'!D11</f>
        <v>0</v>
      </c>
    </row>
    <row r="8" spans="1:5" s="8" customFormat="1" ht="15">
      <c r="A8" s="324" t="s">
        <v>7</v>
      </c>
      <c r="B8" s="346"/>
      <c r="C8" s="346"/>
      <c r="D8" s="346"/>
      <c r="E8" s="48">
        <f>'20 Year Life Cycle Cost'!$B$4</f>
        <v>0</v>
      </c>
    </row>
    <row r="9" spans="1:5" s="8" customFormat="1" ht="15">
      <c r="A9" s="324" t="s">
        <v>8</v>
      </c>
      <c r="B9" s="346"/>
      <c r="C9" s="346"/>
      <c r="D9" s="346"/>
      <c r="E9" s="48">
        <f>'20 Year Life Cycle Cost'!$B$7</f>
        <v>20</v>
      </c>
    </row>
    <row r="10" spans="1:5" s="8" customFormat="1" ht="15">
      <c r="A10" s="324" t="s">
        <v>20</v>
      </c>
      <c r="B10" s="346"/>
      <c r="C10" s="346"/>
      <c r="D10" s="346"/>
      <c r="E10" s="49">
        <f>'20 Year Life Cycle Cost'!$B$9</f>
        <v>0.043</v>
      </c>
    </row>
    <row r="11" spans="1:5" s="8" customFormat="1" ht="15">
      <c r="A11" s="324" t="s">
        <v>71</v>
      </c>
      <c r="B11" s="346"/>
      <c r="C11" s="346"/>
      <c r="D11" s="346"/>
      <c r="E11" s="49">
        <f>'20 Year Life Cycle Cost'!$B$10</f>
        <v>0.0294</v>
      </c>
    </row>
    <row r="12" spans="1:5" s="8" customFormat="1" ht="15.75" thickBot="1">
      <c r="A12" s="337" t="s">
        <v>70</v>
      </c>
      <c r="B12" s="338"/>
      <c r="C12" s="338"/>
      <c r="D12" s="338"/>
      <c r="E12" s="50">
        <f>'20 Year Life Cycle Cost'!$B$11</f>
        <v>0.0223</v>
      </c>
    </row>
    <row r="13" spans="1:6" s="8" customFormat="1" ht="15">
      <c r="A13" s="248"/>
      <c r="B13" s="105"/>
      <c r="C13" s="105"/>
      <c r="D13" s="105"/>
      <c r="E13" s="19"/>
      <c r="F13" s="53"/>
    </row>
    <row r="14" spans="1:5" s="8" customFormat="1" ht="15.75" thickBot="1">
      <c r="A14" s="360" t="s">
        <v>26</v>
      </c>
      <c r="B14" s="360"/>
      <c r="C14" s="360"/>
      <c r="D14" s="360"/>
      <c r="E14" s="360"/>
    </row>
    <row r="15" spans="1:7" ht="15">
      <c r="A15" s="335" t="s">
        <v>19</v>
      </c>
      <c r="B15" s="341"/>
      <c r="C15" s="341"/>
      <c r="D15" s="341"/>
      <c r="E15" s="37">
        <f>24*E6</f>
        <v>0</v>
      </c>
      <c r="F15" s="8"/>
      <c r="G15" s="8"/>
    </row>
    <row r="16" spans="1:7" ht="15">
      <c r="A16" s="324" t="s">
        <v>84</v>
      </c>
      <c r="B16" s="346"/>
      <c r="C16" s="346"/>
      <c r="D16" s="346"/>
      <c r="E16" s="38">
        <f>E15*(1+E10)</f>
        <v>0</v>
      </c>
      <c r="F16" s="8"/>
      <c r="G16" s="8"/>
    </row>
    <row r="17" spans="1:7" ht="15.75" thickBot="1">
      <c r="A17" s="342" t="s">
        <v>11</v>
      </c>
      <c r="B17" s="343"/>
      <c r="C17" s="343"/>
      <c r="D17" s="343"/>
      <c r="E17" s="39">
        <f>IF($E$12=$E$10,$E$9/(1+$E$12),(1-((1+$E$10)/(1+$E$12))^$E$9)/($E$12-$E$10))</f>
        <v>23.826248301491415</v>
      </c>
      <c r="F17" s="8"/>
      <c r="G17" s="8"/>
    </row>
    <row r="18" spans="1:7" ht="16.5" thickBot="1" thickTop="1">
      <c r="A18" s="357" t="s">
        <v>21</v>
      </c>
      <c r="B18" s="358"/>
      <c r="C18" s="358"/>
      <c r="D18" s="358"/>
      <c r="E18" s="233">
        <f>ROUND(E16*E17,-3)</f>
        <v>0</v>
      </c>
      <c r="F18" s="8"/>
      <c r="G18" s="8"/>
    </row>
    <row r="19" spans="6:7" ht="15">
      <c r="F19" s="8"/>
      <c r="G19" s="8"/>
    </row>
    <row r="20" spans="1:7" ht="15.75">
      <c r="A20" s="255" t="s">
        <v>175</v>
      </c>
      <c r="B20" s="240"/>
      <c r="C20" s="240"/>
      <c r="D20" s="240"/>
      <c r="E20" s="240"/>
      <c r="F20" s="8"/>
      <c r="G20" s="8"/>
    </row>
    <row r="21" spans="1:7" ht="15.75">
      <c r="A21" s="255"/>
      <c r="B21" s="202"/>
      <c r="C21" s="202"/>
      <c r="D21" s="202"/>
      <c r="E21" s="202"/>
      <c r="F21" s="8"/>
      <c r="G21" s="8"/>
    </row>
    <row r="22" spans="1:5" s="8" customFormat="1" ht="30" customHeight="1">
      <c r="A22" s="359" t="s">
        <v>167</v>
      </c>
      <c r="B22" s="359"/>
      <c r="C22" s="359"/>
      <c r="D22" s="359"/>
      <c r="E22" s="359"/>
    </row>
    <row r="23" spans="1:5" s="8" customFormat="1" ht="15.75" thickBot="1">
      <c r="A23" s="256" t="s">
        <v>141</v>
      </c>
      <c r="B23" s="244"/>
      <c r="C23" s="244"/>
      <c r="D23" s="244"/>
      <c r="E23" s="244"/>
    </row>
    <row r="24" spans="1:5" s="8" customFormat="1" ht="15">
      <c r="A24" s="335" t="s">
        <v>133</v>
      </c>
      <c r="B24" s="336"/>
      <c r="C24" s="336"/>
      <c r="D24" s="336"/>
      <c r="E24" s="37">
        <v>375</v>
      </c>
    </row>
    <row r="25" spans="1:5" s="8" customFormat="1" ht="15">
      <c r="A25" s="324" t="s">
        <v>132</v>
      </c>
      <c r="B25" s="325"/>
      <c r="C25" s="325"/>
      <c r="D25" s="325"/>
      <c r="E25" s="38">
        <f>E24*E6*(1+$E$11)</f>
        <v>0</v>
      </c>
    </row>
    <row r="26" spans="1:6" s="8" customFormat="1" ht="15.75" thickBot="1">
      <c r="A26" s="327" t="s">
        <v>74</v>
      </c>
      <c r="B26" s="328"/>
      <c r="C26" s="328"/>
      <c r="D26" s="328"/>
      <c r="E26" s="104">
        <f>IF($E$12=$E$11,$E$9/(1+$E$12),(1-((1+$E$11)/(1+$E$12))^$E$9)/($E$12-$E$11))</f>
        <v>20.909929455219462</v>
      </c>
      <c r="F26" s="109"/>
    </row>
    <row r="27" spans="1:6" s="8" customFormat="1" ht="16.5" thickBot="1" thickTop="1">
      <c r="A27" s="333" t="s">
        <v>135</v>
      </c>
      <c r="B27" s="334"/>
      <c r="C27" s="334"/>
      <c r="D27" s="334"/>
      <c r="E27" s="229">
        <f>ROUND(E25*E26,-3)</f>
        <v>0</v>
      </c>
      <c r="F27" s="109"/>
    </row>
    <row r="28" spans="1:6" s="8" customFormat="1" ht="15">
      <c r="A28" s="257"/>
      <c r="B28" s="7"/>
      <c r="C28" s="7"/>
      <c r="D28" s="7"/>
      <c r="E28" s="221"/>
      <c r="F28" s="109"/>
    </row>
    <row r="29" spans="1:7" s="8" customFormat="1" ht="15">
      <c r="A29" s="256" t="s">
        <v>116</v>
      </c>
      <c r="B29" s="244"/>
      <c r="C29" s="244"/>
      <c r="D29" s="244"/>
      <c r="E29" s="244"/>
      <c r="F29" s="244"/>
      <c r="G29" s="244"/>
    </row>
    <row r="30" spans="1:7" s="8" customFormat="1" ht="15.75" thickBot="1">
      <c r="A30" s="361" t="s">
        <v>139</v>
      </c>
      <c r="B30" s="361"/>
      <c r="C30" s="361"/>
      <c r="D30" s="361"/>
      <c r="E30" s="7"/>
      <c r="F30" s="7"/>
      <c r="G30" s="7"/>
    </row>
    <row r="31" spans="1:7" s="8" customFormat="1" ht="30">
      <c r="A31" s="258" t="s">
        <v>12</v>
      </c>
      <c r="B31" s="190" t="s">
        <v>152</v>
      </c>
      <c r="C31" s="190" t="s">
        <v>153</v>
      </c>
      <c r="D31" s="191" t="s">
        <v>140</v>
      </c>
      <c r="E31" s="7"/>
      <c r="F31" s="7"/>
      <c r="G31" s="7"/>
    </row>
    <row r="32" spans="1:7" s="8" customFormat="1" ht="15.75" thickBot="1">
      <c r="A32" s="259" t="s">
        <v>117</v>
      </c>
      <c r="B32" s="189">
        <v>850</v>
      </c>
      <c r="C32" s="189">
        <v>450</v>
      </c>
      <c r="D32" s="46">
        <f>C32+B32</f>
        <v>1300</v>
      </c>
      <c r="E32" s="33"/>
      <c r="F32" s="33"/>
      <c r="G32" s="33"/>
    </row>
    <row r="33" spans="1:7" s="8" customFormat="1" ht="15">
      <c r="A33" s="260"/>
      <c r="B33" s="220"/>
      <c r="C33" s="220"/>
      <c r="D33" s="24"/>
      <c r="E33" s="33"/>
      <c r="F33" s="33"/>
      <c r="G33" s="33"/>
    </row>
    <row r="34" spans="1:7" s="8" customFormat="1" ht="15.75" thickBot="1">
      <c r="A34" s="261" t="s">
        <v>137</v>
      </c>
      <c r="B34" s="242"/>
      <c r="C34" s="242"/>
      <c r="D34" s="242"/>
      <c r="E34" s="242"/>
      <c r="F34" s="242"/>
      <c r="G34" s="242"/>
    </row>
    <row r="35" spans="1:7" s="8" customFormat="1" ht="33.75" thickBot="1">
      <c r="A35" s="262" t="s">
        <v>115</v>
      </c>
      <c r="B35" s="97" t="s">
        <v>121</v>
      </c>
      <c r="C35" s="96" t="s">
        <v>32</v>
      </c>
      <c r="D35" s="97" t="s">
        <v>149</v>
      </c>
      <c r="E35" s="97" t="s">
        <v>33</v>
      </c>
      <c r="F35" s="97" t="s">
        <v>30</v>
      </c>
      <c r="G35" s="98" t="s">
        <v>10</v>
      </c>
    </row>
    <row r="36" spans="1:7" s="8" customFormat="1" ht="15.75" thickTop="1">
      <c r="A36" s="263">
        <v>20</v>
      </c>
      <c r="B36" s="192" t="s">
        <v>117</v>
      </c>
      <c r="C36" s="193">
        <f>($E$5)*D32</f>
        <v>0</v>
      </c>
      <c r="D36" s="194">
        <f>(1+$E$11)^(A36)</f>
        <v>1.7851852024624193</v>
      </c>
      <c r="E36" s="195">
        <f>D36*C36</f>
        <v>0</v>
      </c>
      <c r="F36" s="194">
        <f>1/(1+$E$12)^(A36)</f>
        <v>0.6433284891382214</v>
      </c>
      <c r="G36" s="196">
        <f>E36*F36</f>
        <v>0</v>
      </c>
    </row>
    <row r="37" spans="1:7" s="8" customFormat="1" ht="15.75" thickBot="1">
      <c r="A37" s="264" t="s">
        <v>150</v>
      </c>
      <c r="B37" s="243"/>
      <c r="C37" s="243"/>
      <c r="D37" s="243"/>
      <c r="E37" s="243"/>
      <c r="F37" s="243"/>
      <c r="G37" s="228">
        <f>ROUND(SUM(G36:G36),-3)</f>
        <v>0</v>
      </c>
    </row>
    <row r="38" spans="1:7" s="8" customFormat="1" ht="15.75" thickBot="1">
      <c r="A38" s="265"/>
      <c r="B38" s="203"/>
      <c r="C38" s="203"/>
      <c r="D38" s="203"/>
      <c r="E38" s="203"/>
      <c r="F38" s="203"/>
      <c r="G38" s="204"/>
    </row>
    <row r="39" spans="1:7" s="8" customFormat="1" ht="45">
      <c r="A39" s="266" t="s">
        <v>168</v>
      </c>
      <c r="B39" s="246"/>
      <c r="C39" s="246"/>
      <c r="D39" s="246"/>
      <c r="E39" s="246"/>
      <c r="F39" s="246"/>
      <c r="G39" s="222">
        <f>E27</f>
        <v>0</v>
      </c>
    </row>
    <row r="40" spans="1:7" s="8" customFormat="1" ht="15">
      <c r="A40" s="267" t="s">
        <v>169</v>
      </c>
      <c r="B40" s="247"/>
      <c r="C40" s="247"/>
      <c r="D40" s="247"/>
      <c r="E40" s="247"/>
      <c r="F40" s="247"/>
      <c r="G40" s="223">
        <f>G37</f>
        <v>0</v>
      </c>
    </row>
    <row r="41" spans="1:7" s="8" customFormat="1" ht="15.75" thickBot="1">
      <c r="A41" s="268" t="s">
        <v>170</v>
      </c>
      <c r="B41" s="245"/>
      <c r="C41" s="245"/>
      <c r="D41" s="245"/>
      <c r="E41" s="245"/>
      <c r="F41" s="245"/>
      <c r="G41" s="227">
        <f>SUM(G39:G40)</f>
        <v>0</v>
      </c>
    </row>
    <row r="42" spans="1:7" s="8" customFormat="1" ht="15">
      <c r="A42" s="265"/>
      <c r="B42" s="203"/>
      <c r="C42" s="203"/>
      <c r="D42" s="203"/>
      <c r="E42" s="203"/>
      <c r="F42" s="203"/>
      <c r="G42" s="204"/>
    </row>
    <row r="43" spans="1:7" s="8" customFormat="1" ht="15">
      <c r="A43" s="265"/>
      <c r="B43" s="203"/>
      <c r="C43" s="203"/>
      <c r="D43" s="203"/>
      <c r="E43" s="203"/>
      <c r="F43" s="203"/>
      <c r="G43" s="204"/>
    </row>
    <row r="44" spans="1:7" s="8" customFormat="1" ht="15.75">
      <c r="A44" s="255" t="s">
        <v>175</v>
      </c>
      <c r="B44" s="240"/>
      <c r="C44" s="240"/>
      <c r="D44" s="240"/>
      <c r="E44" s="240"/>
      <c r="F44" s="240"/>
      <c r="G44" s="240"/>
    </row>
    <row r="45" spans="1:5" s="8" customFormat="1" ht="30" customHeight="1">
      <c r="A45" s="359" t="s">
        <v>144</v>
      </c>
      <c r="B45" s="359"/>
      <c r="C45" s="359"/>
      <c r="D45" s="359"/>
      <c r="E45" s="359"/>
    </row>
    <row r="46" spans="1:5" s="8" customFormat="1" ht="30.75" thickBot="1">
      <c r="A46" s="256" t="s">
        <v>142</v>
      </c>
      <c r="B46" s="244"/>
      <c r="C46" s="244"/>
      <c r="D46" s="244"/>
      <c r="E46" s="244"/>
    </row>
    <row r="47" spans="1:6" s="8" customFormat="1" ht="15">
      <c r="A47" s="335" t="s">
        <v>134</v>
      </c>
      <c r="B47" s="336"/>
      <c r="C47" s="336"/>
      <c r="D47" s="336"/>
      <c r="E47" s="37">
        <v>2000</v>
      </c>
      <c r="F47" s="109"/>
    </row>
    <row r="48" spans="1:7" s="8" customFormat="1" ht="15">
      <c r="A48" s="324" t="s">
        <v>99</v>
      </c>
      <c r="B48" s="325"/>
      <c r="C48" s="325"/>
      <c r="D48" s="325"/>
      <c r="E48" s="38">
        <f>E47*(1+$E$11)</f>
        <v>2058.8</v>
      </c>
      <c r="F48" s="53"/>
      <c r="G48"/>
    </row>
    <row r="49" spans="1:6" ht="15.75" thickBot="1">
      <c r="A49" s="327" t="s">
        <v>74</v>
      </c>
      <c r="B49" s="328"/>
      <c r="C49" s="328"/>
      <c r="D49" s="328"/>
      <c r="E49" s="104">
        <f>IF($E$12=$E$11,$E$9/(1+$E$12),(1-((1+$E$11)/(1+$E$12))^$E$9)/($E$12-$E$11))</f>
        <v>20.909929455219462</v>
      </c>
      <c r="F49" s="53"/>
    </row>
    <row r="50" spans="1:6" ht="16.5" thickBot="1" thickTop="1">
      <c r="A50" s="333" t="s">
        <v>136</v>
      </c>
      <c r="B50" s="334"/>
      <c r="C50" s="334"/>
      <c r="D50" s="334"/>
      <c r="E50" s="229">
        <f>ROUND(E49*E48,-3)</f>
        <v>43000</v>
      </c>
      <c r="F50" s="53"/>
    </row>
    <row r="51" ht="15">
      <c r="F51" s="53"/>
    </row>
    <row r="52" spans="1:7" ht="30">
      <c r="A52" s="256" t="s">
        <v>174</v>
      </c>
      <c r="B52" s="244"/>
      <c r="C52" s="244"/>
      <c r="D52" s="244"/>
      <c r="E52" s="244"/>
      <c r="F52" s="244"/>
      <c r="G52" s="244"/>
    </row>
    <row r="53" spans="1:7" ht="15.75" thickBot="1">
      <c r="A53" s="361" t="s">
        <v>139</v>
      </c>
      <c r="B53" s="361"/>
      <c r="C53" s="361"/>
      <c r="D53" s="361"/>
      <c r="E53" s="7"/>
      <c r="F53" s="7"/>
      <c r="G53" s="7"/>
    </row>
    <row r="54" spans="1:7" ht="30">
      <c r="A54" s="258" t="s">
        <v>12</v>
      </c>
      <c r="B54" s="190" t="s">
        <v>152</v>
      </c>
      <c r="C54" s="190" t="s">
        <v>153</v>
      </c>
      <c r="D54" s="191" t="s">
        <v>140</v>
      </c>
      <c r="E54" s="7"/>
      <c r="F54" s="7"/>
      <c r="G54" s="7"/>
    </row>
    <row r="55" spans="1:7" ht="15.75" thickBot="1">
      <c r="A55" s="269" t="s">
        <v>118</v>
      </c>
      <c r="B55" s="189">
        <v>500</v>
      </c>
      <c r="C55" s="45">
        <f>0.25*B55</f>
        <v>125</v>
      </c>
      <c r="D55" s="46">
        <f>C55+B55</f>
        <v>625</v>
      </c>
      <c r="E55" s="33"/>
      <c r="F55" s="33"/>
      <c r="G55" s="8"/>
    </row>
    <row r="56" spans="1:6" s="8" customFormat="1" ht="15">
      <c r="A56" s="270"/>
      <c r="B56" s="187"/>
      <c r="C56" s="188"/>
      <c r="D56" s="188"/>
      <c r="E56" s="33"/>
      <c r="F56" s="33"/>
    </row>
    <row r="57" spans="1:7" ht="15.75" thickBot="1">
      <c r="A57" s="261" t="s">
        <v>138</v>
      </c>
      <c r="B57" s="242"/>
      <c r="C57" s="242"/>
      <c r="D57" s="242"/>
      <c r="E57" s="242"/>
      <c r="F57" s="242"/>
      <c r="G57" s="242"/>
    </row>
    <row r="58" spans="1:7" ht="33.75" thickBot="1">
      <c r="A58" s="262" t="s">
        <v>115</v>
      </c>
      <c r="B58" s="97" t="s">
        <v>121</v>
      </c>
      <c r="C58" s="96" t="s">
        <v>32</v>
      </c>
      <c r="D58" s="97" t="s">
        <v>149</v>
      </c>
      <c r="E58" s="97" t="s">
        <v>33</v>
      </c>
      <c r="F58" s="97" t="s">
        <v>30</v>
      </c>
      <c r="G58" s="98" t="s">
        <v>10</v>
      </c>
    </row>
    <row r="59" spans="1:7" ht="15.75" thickTop="1">
      <c r="A59" s="271">
        <v>15</v>
      </c>
      <c r="B59" s="212" t="s">
        <v>119</v>
      </c>
      <c r="C59" s="193">
        <f>$D$55*$E$7</f>
        <v>0</v>
      </c>
      <c r="D59" s="194">
        <v>1.5444094797722225</v>
      </c>
      <c r="E59" s="195">
        <f>C59*D59</f>
        <v>0</v>
      </c>
      <c r="F59" s="194">
        <v>0.7183309652795187</v>
      </c>
      <c r="G59" s="196">
        <f>E59*F59</f>
        <v>0</v>
      </c>
    </row>
    <row r="60" spans="1:7" ht="15.75" thickBot="1">
      <c r="A60" s="264" t="s">
        <v>151</v>
      </c>
      <c r="B60" s="243"/>
      <c r="C60" s="243"/>
      <c r="D60" s="243"/>
      <c r="E60" s="243"/>
      <c r="F60" s="243"/>
      <c r="G60" s="230">
        <f>ROUND(SUM(G59:G59),-3)</f>
        <v>0</v>
      </c>
    </row>
    <row r="63" ht="15.75" thickBot="1"/>
    <row r="64" spans="1:7" ht="45">
      <c r="A64" s="272" t="s">
        <v>171</v>
      </c>
      <c r="B64" s="246"/>
      <c r="C64" s="246"/>
      <c r="D64" s="246"/>
      <c r="E64" s="246"/>
      <c r="F64" s="246"/>
      <c r="G64" s="224">
        <f>E50</f>
        <v>43000</v>
      </c>
    </row>
    <row r="65" spans="1:7" ht="15">
      <c r="A65" s="273" t="s">
        <v>172</v>
      </c>
      <c r="B65" s="247"/>
      <c r="C65" s="247"/>
      <c r="D65" s="247"/>
      <c r="E65" s="247"/>
      <c r="F65" s="247"/>
      <c r="G65" s="225">
        <f>G60</f>
        <v>0</v>
      </c>
    </row>
    <row r="66" spans="1:7" ht="15.75" thickBot="1">
      <c r="A66" s="268" t="s">
        <v>173</v>
      </c>
      <c r="B66" s="245"/>
      <c r="C66" s="245"/>
      <c r="D66" s="245"/>
      <c r="E66" s="245"/>
      <c r="F66" s="245"/>
      <c r="G66" s="226">
        <f>SUM(G64:G65)</f>
        <v>43000</v>
      </c>
    </row>
  </sheetData>
  <sheetProtection selectLockedCells="1" selectUnlockedCells="1"/>
  <mergeCells count="28">
    <mergeCell ref="A50:D50"/>
    <mergeCell ref="A49:D49"/>
    <mergeCell ref="A47:D47"/>
    <mergeCell ref="A53:D53"/>
    <mergeCell ref="A30:D30"/>
    <mergeCell ref="A48:D48"/>
    <mergeCell ref="A45:E45"/>
    <mergeCell ref="A1:G1"/>
    <mergeCell ref="A7:D7"/>
    <mergeCell ref="A24:D24"/>
    <mergeCell ref="A4:E4"/>
    <mergeCell ref="A6:D6"/>
    <mergeCell ref="A8:D8"/>
    <mergeCell ref="A9:D9"/>
    <mergeCell ref="A10:D10"/>
    <mergeCell ref="A5:D5"/>
    <mergeCell ref="A11:D11"/>
    <mergeCell ref="A2:G2"/>
    <mergeCell ref="A12:D12"/>
    <mergeCell ref="A14:E14"/>
    <mergeCell ref="A25:D25"/>
    <mergeCell ref="A27:D27"/>
    <mergeCell ref="A26:D26"/>
    <mergeCell ref="A15:D15"/>
    <mergeCell ref="A16:D16"/>
    <mergeCell ref="A17:D17"/>
    <mergeCell ref="A18:D18"/>
    <mergeCell ref="A22:E22"/>
  </mergeCells>
  <printOptions/>
  <pageMargins left="0.7" right="0.7" top="0.75" bottom="0.75" header="0.3" footer="0.3"/>
  <pageSetup horizontalDpi="600" verticalDpi="600" orientation="portrait" scale="93" r:id="rId1"/>
  <headerFooter>
    <oddHeader>&amp;C&amp;"-,Bold Italic"Appendix A - 20-Year Life Cylce Cost Summary Worksheets</oddHeader>
    <oddFooter>&amp;CPage &amp;P of &amp;N</oddFooter>
  </headerFooter>
  <rowBreaks count="2" manualBreakCount="2">
    <brk id="20" max="6" man="1"/>
    <brk id="4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Structurepoint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Henricksen</dc:creator>
  <cp:keywords/>
  <dc:description/>
  <cp:lastModifiedBy>Mariel Villagomez</cp:lastModifiedBy>
  <cp:lastPrinted>2011-12-08T16:55:57Z</cp:lastPrinted>
  <dcterms:created xsi:type="dcterms:W3CDTF">2011-03-29T22:59:13Z</dcterms:created>
  <dcterms:modified xsi:type="dcterms:W3CDTF">2015-05-27T13:45:42Z</dcterms:modified>
  <cp:category/>
  <cp:version/>
  <cp:contentType/>
  <cp:contentStatus/>
</cp:coreProperties>
</file>